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5.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6.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7.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8.xml" ContentType="application/vnd.openxmlformats-officedocument.drawing+xml"/>
  <Override PartName="/xl/tables/table32.xml" ContentType="application/vnd.openxmlformats-officedocument.spreadsheetml.table+xml"/>
  <Override PartName="/xl/drawings/drawing9.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drawings/drawing10.xml" ContentType="application/vnd.openxmlformats-officedocument.drawing+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drawings/drawing13.xml" ContentType="application/vnd.openxmlformats-officedocument.drawing+xml"/>
  <Override PartName="/xl/tables/table52.xml" ContentType="application/vnd.openxmlformats-officedocument.spreadsheetml.table+xml"/>
  <Override PartName="/xl/drawings/drawing14.xml" ContentType="application/vnd.openxmlformats-officedocument.drawing+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5.xml" ContentType="application/vnd.openxmlformats-officedocument.drawing+xml"/>
  <Override PartName="/xl/tables/table57.xml" ContentType="application/vnd.openxmlformats-officedocument.spreadsheetml.table+xml"/>
  <Override PartName="/xl/drawings/drawing16.xml" ContentType="application/vnd.openxmlformats-officedocument.drawing+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drawings/drawing17.xml" ContentType="application/vnd.openxmlformats-officedocument.drawing+xml"/>
  <Override PartName="/xl/tables/table71.xml" ContentType="application/vnd.openxmlformats-officedocument.spreadsheetml.table+xml"/>
  <Override PartName="/xl/drawings/drawing18.xml" ContentType="application/vnd.openxmlformats-officedocument.drawing+xml"/>
  <Override PartName="/xl/tables/table7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mc:AlternateContent xmlns:mc="http://schemas.openxmlformats.org/markup-compatibility/2006">
    <mc:Choice Requires="x15">
      <x15ac:absPath xmlns:x15ac="http://schemas.microsoft.com/office/spreadsheetml/2010/11/ac" url="https://calibremining-my.sharepoint.com/personal/jreid_calibremining_com/Documents/Desktop/"/>
    </mc:Choice>
  </mc:AlternateContent>
  <xr:revisionPtr revIDLastSave="0" documentId="8_{5501A41D-8014-4EE1-BA06-04063E0AAED6}" xr6:coauthVersionLast="47" xr6:coauthVersionMax="47" xr10:uidLastSave="{00000000-0000-0000-0000-000000000000}"/>
  <bookViews>
    <workbookView xWindow="-110" yWindow="-110" windowWidth="38620" windowHeight="21220" tabRatio="940" xr2:uid="{C06AC36A-B3DE-4EFA-84E7-7F63EAAC3A2A}"/>
  </bookViews>
  <sheets>
    <sheet name="Index" sheetId="19" r:id="rId1"/>
    <sheet name="Overview" sheetId="16" r:id="rId2"/>
    <sheet name="ASM" sheetId="3" r:id="rId3"/>
    <sheet name="Biodiversity" sheetId="4" r:id="rId4"/>
    <sheet name="Climate Change" sheetId="5" r:id="rId5"/>
    <sheet name="Communities &amp; IPs" sheetId="11" r:id="rId6"/>
    <sheet name="CorpGov &amp; Business Ethics" sheetId="6" r:id="rId7"/>
    <sheet name="Environmental Mgmt" sheetId="7" r:id="rId8"/>
    <sheet name="Health &amp; Safety" sheetId="2" r:id="rId9"/>
    <sheet name="Labour Rights" sheetId="8" r:id="rId10"/>
    <sheet name="Resettlement" sheetId="9" r:id="rId11"/>
    <sheet name="Resp. Procurement" sheetId="10" r:id="rId12"/>
    <sheet name="Security Practices" sheetId="12" r:id="rId13"/>
    <sheet name="Socio-econ. Contributions" sheetId="13" r:id="rId14"/>
    <sheet name="Tax Transparency" sheetId="18" r:id="rId15"/>
    <sheet name="Waste &amp; Materials" sheetId="14" r:id="rId16"/>
    <sheet name="Water &amp; Effluents" sheetId="15" r:id="rId17"/>
    <sheet name="Scorecards" sheetId="17" r:id="rId18"/>
  </sheets>
  <definedNames>
    <definedName name="_2023_Sustainability_scorecard">Scorecards!$A$29</definedName>
    <definedName name="Amount_of_land_owned_or_leased__and_managed_for_production_activities_or_extractive_use__disturbed_or_rehabilitated">Biodiversity!$A$38</definedName>
    <definedName name="Anti_corruption_policy_in_procurement_processes_and_suppliers">'Resp. Procurement'!$A$21</definedName>
    <definedName name="Approach_to_stakeholder_engagement">Overview!$A$34</definedName>
    <definedName name="Average_hours_of_training_per_year_per_employee_by_gender">'Labour Rights'!$A$182</definedName>
    <definedName name="Categorizing_suppliers">'Socio-econ. Contributions'!$A$102</definedName>
    <definedName name="Collective_bargaining_agreements">'Labour Rights'!$A$265</definedName>
    <definedName name="Communications_and_training_on_anti_corruption_policies_and_procedures">'CorpGov &amp; Business Ethics'!$A$37</definedName>
    <definedName name="Contractor_data_on_work_related_injuries">'Health &amp; Safety'!$A$40</definedName>
    <definedName name="Country_by_country_reporting">'Tax Transparency'!$A$1</definedName>
    <definedName name="Description_of_environmental_management_policies_and_practices__EMPs__for_active_sites">'Environmental Mgmt'!$A$1</definedName>
    <definedName name="Direct__Scope_1__GHG_emissions">'Climate Change'!$A$33</definedName>
    <definedName name="Direct_economic_value_generated_and_distributed___Million_USD">'Socio-econ. Contributions'!$A$1</definedName>
    <definedName name="Employee_and_contractor_data_on_work_related_ill_health">'Health &amp; Safety'!$A$58</definedName>
    <definedName name="Employee_data_on_work_related_injuries">'Health &amp; Safety'!$A$30</definedName>
    <definedName name="Employees">'Labour Rights'!$A$1</definedName>
    <definedName name="Energy_consumption_within_the_organization__GJ">'Climate Change'!$A$1</definedName>
    <definedName name="Energy_indirect__Scope_2__GHG_emissions">'Climate Change'!$A$44</definedName>
    <definedName name="Energy_intensity">'Climate Change'!$A$23</definedName>
    <definedName name="Entities_included_in_the_organization_s_sustainability_reporting">Overview!$A$1</definedName>
    <definedName name="Extent_to_which_grievance_mechanisms_were_used_to_resolve_disputes_relating_to_land_use__customary_rights_of_local_communities_and_Indigenous_Peoples__and_the_outcomes">'Communities &amp; IPs'!$A$32</definedName>
    <definedName name="GHG_emissions_intensity">'Climate Change'!$A$62</definedName>
    <definedName name="GHG_emissions_trail_FY2020_2022">'Climate Change'!$A$53</definedName>
    <definedName name="Governance_structure_and_composition__diversity_of_governance_bodies">'CorpGov &amp; Business Ethics'!$A$1</definedName>
    <definedName name="H_S_Data_Trailing_FY2020_2022__1">'Health &amp; Safety'!$A$75</definedName>
    <definedName name="Habitats_protected_or_restored__1">Biodiversity!$A$10</definedName>
    <definedName name="Infrastructure_investments_and_services_supported">'Socio-econ. Contributions'!$A$45</definedName>
    <definedName name="IUCN_Red_List_species_and_national_conservation_list_species_with_habitats_in_areas_affected_by_operations">Biodiversity!$A$20</definedName>
    <definedName name="List_of_material_topics">Overview!$A$49</definedName>
    <definedName name="Mechanisms_for_seeking_advise_and_raising_concerns">'CorpGov &amp; Business Ethics'!$A$16</definedName>
    <definedName name="Memberships_and_associations">Overview!$A$17</definedName>
    <definedName name="Negative_environmental_or_social_impacts_in_the_supply_chain_and_actions_taken">'Resp. Procurement'!$A$11</definedName>
    <definedName name="New_employee_hires_and_employee_turnover">'Labour Rights'!$A$95</definedName>
    <definedName name="New_suppliers_that_were_screened_using_environmental___social_criteria">'Resp. Procurement'!$A$1</definedName>
    <definedName name="Number__and_percentage__of_company_operating_sites_where_ASM_takes_place_on__or_adjacent_to__the_site__the_associated_risks_and_the_actions_taken_to_manage_and_mitigate_these_risks">ASM!$A$1</definedName>
    <definedName name="Number_and_description_of_significant_disputes_1__relating_to_land_use__customary_rights_of_local_communities_and_Indigenous_Peoples">'Communities &amp; IPs'!$A$25</definedName>
    <definedName name="Number_and_percentage_of_operations_with_closure_plans">Biodiversity!$A$64</definedName>
    <definedName name="Number_and_percentage_of_total_sites_identified_as_requiring_biodiversity_management_plans_according_to_stated_criteria__and_number__and_percentage__of_those_sites_with_plans_in_place">Biodiversity!$A$56</definedName>
    <definedName name="Operations_assessed_for_risks_related_to_corruption">'CorpGov &amp; Business Ethics'!$A$28</definedName>
    <definedName name="Operations_with_local_community_engagement__impact_assessments__and_development_programs">'Communities &amp; IPs'!$A$1</definedName>
    <definedName name="Operations_with_significant_actual_and_potential_negative_impacts_on_local_communities">'Communities &amp; IPs'!$A$9</definedName>
    <definedName name="Percentage_of_employees_per_employee_category_in_diversity_categories">'Labour Rights'!$A$195</definedName>
    <definedName name="Percentage_of_proved_and_probable_reserves_in_or_near_sites_with_protected_conservation_status_or_endangered_species_habitat">Biodiversity!$A$32</definedName>
    <definedName name="Potential_risks_to_water_sources">'Water &amp; Effluents'!$A$1</definedName>
    <definedName name="Production_of_metal_ores_and_finished_metal_products">Overview!$A$10</definedName>
    <definedName name="Progress_toward_2022_sustainability_scorecard">Scorecards!$A$1</definedName>
    <definedName name="Proportion_of_bodies_of_water_with_good_ambient_water_quality">ASM!$A$12</definedName>
    <definedName name="Proportion_of_spending_on_local_suppliers">'Socio-econ. Contributions'!$A$84</definedName>
    <definedName name="Ratio_of_basic_salary_and_remuneration_of_women_to_men">'Labour Rights'!$A$252</definedName>
    <definedName name="Ratios_of_standard_entry_level_wage_by_gender_compared_to_local_minimum_wage">'Socio-econ. Contributions'!$A$34</definedName>
    <definedName name="Reduction_of_GHG_emissions">'Climate Change'!$A$70</definedName>
    <definedName name="Security_personnel_trained_in_human_rights_policies_or_procedures">'Security Practices'!$A$1</definedName>
    <definedName name="Significant_impacts_of_activities__products_and_services_on_biodiversity">Biodiversity!$A$1</definedName>
    <definedName name="Significant_indirect_economic_impacts">'Socio-econ. Contributions'!$A$69</definedName>
    <definedName name="Sites_where_resettlement_took_place__the_number_of_household_resettled_in_each__and_how_their_livelihoods_were_affected_in_the_process">Resettlement!$A$1</definedName>
    <definedName name="Tailings_storage_facility_inventory">'Waste &amp; Materials'!$A$63</definedName>
    <definedName name="Total_amounts_of_overburden__rock__tailings__and_sludges">'Waste &amp; Materials'!$A$45</definedName>
    <definedName name="Total_number_of_operations_taking_place_in_or_adjacent_to_Indigenous_Peoples__territories__and_number_and_percentage_of_operations_or_sites_where_there_are_formal_agreements_with_Indigenous_Peoples__communities">'Communities &amp; IPs'!$A$16</definedName>
    <definedName name="Total_weight_of_non_mineral_waste_generated__in_metric_tonnes__T">'Waste &amp; Materials'!#REF!</definedName>
    <definedName name="Training_and_guidance_for_suppliers">'Resp. Procurement'!$A$31</definedName>
    <definedName name="Waste_directed_to_disposal">'Waste &amp; Materials'!$A$28</definedName>
    <definedName name="Waste_diverted_from_disposal">'Waste &amp; Materials'!$A$13</definedName>
    <definedName name="Waste_generated">'Waste &amp; Materials'!$A$1</definedName>
    <definedName name="Water_balance_FY2020_2022__ML">'Water &amp; Effluents'!$A$70</definedName>
    <definedName name="Water_consumption_FY2020_2022__ML">'Water &amp; Effluents'!$A$58</definedName>
    <definedName name="Water_discharge_FY2020_2022__ML">'Water &amp; Effluents'!$A$37</definedName>
    <definedName name="Water_withdrawal_by_source_FY2020_2022__ML">'Water &amp; Effluents'!$A$11</definedName>
    <definedName name="Work_related_hazards_that_pose_a_risk_of_high_consequence_injuries_FY2022__Employees___Contractors">'Health &amp; Safety'!$A$50</definedName>
    <definedName name="Worker_1__training_on_occupational_health_and_safety_FY2020_2022">'Health &amp; Safety'!$A$1</definedName>
    <definedName name="Workers_covered_by_an_occupational_health_and_safety_management_system">'Health &amp; Safety'!$A$15</definedName>
    <definedName name="Workers_who_are_not_employees__Contractors">'Labour Rights'!$A$72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4" l="1"/>
  <c r="D50" i="4"/>
  <c r="B50" i="4"/>
  <c r="B46" i="4"/>
  <c r="I250" i="8" l="1"/>
  <c r="J229" i="8"/>
  <c r="J230" i="8"/>
  <c r="J231" i="8"/>
  <c r="J232" i="8"/>
  <c r="J234" i="8"/>
  <c r="J235" i="8"/>
  <c r="J236" i="8"/>
  <c r="J237" i="8"/>
  <c r="J238" i="8"/>
  <c r="J240" i="8"/>
  <c r="J241" i="8"/>
  <c r="J242" i="8"/>
  <c r="J243" i="8"/>
  <c r="J244" i="8"/>
  <c r="J246" i="8"/>
  <c r="J248" i="8"/>
  <c r="J250" i="8"/>
  <c r="J228" i="8"/>
  <c r="I229" i="8"/>
  <c r="I230" i="8"/>
  <c r="I231" i="8"/>
  <c r="I232" i="8"/>
  <c r="I234" i="8"/>
  <c r="I235" i="8"/>
  <c r="I236" i="8"/>
  <c r="I237" i="8"/>
  <c r="I238" i="8"/>
  <c r="I240" i="8"/>
  <c r="I241" i="8"/>
  <c r="I242" i="8"/>
  <c r="I243" i="8"/>
  <c r="I244" i="8"/>
  <c r="I246" i="8"/>
  <c r="I248" i="8"/>
  <c r="C229" i="8"/>
  <c r="I228" i="8"/>
  <c r="H248" i="8"/>
  <c r="H250" i="8"/>
  <c r="H246" i="8"/>
  <c r="H241" i="8"/>
  <c r="H242" i="8"/>
  <c r="H243" i="8"/>
  <c r="H244" i="8"/>
  <c r="H240" i="8"/>
  <c r="H235" i="8"/>
  <c r="H236" i="8"/>
  <c r="H237" i="8"/>
  <c r="H238" i="8"/>
  <c r="H234" i="8"/>
  <c r="H231" i="8"/>
  <c r="I223" i="8"/>
  <c r="I221" i="8"/>
  <c r="I219" i="8"/>
  <c r="I217" i="8"/>
  <c r="I216" i="8"/>
  <c r="I215" i="8"/>
  <c r="I214" i="8"/>
  <c r="I213" i="8"/>
  <c r="I211" i="8"/>
  <c r="I210" i="8"/>
  <c r="I209" i="8"/>
  <c r="I208" i="8"/>
  <c r="I207" i="8"/>
  <c r="I205" i="8"/>
  <c r="I204" i="8"/>
  <c r="I203" i="8"/>
  <c r="I202" i="8"/>
  <c r="I201" i="8"/>
  <c r="H221" i="8"/>
  <c r="H223" i="8"/>
  <c r="H219" i="8"/>
  <c r="H214" i="8"/>
  <c r="H215" i="8"/>
  <c r="H216" i="8"/>
  <c r="H217" i="8"/>
  <c r="H213" i="8"/>
  <c r="H208" i="8"/>
  <c r="H209" i="8"/>
  <c r="H210" i="8"/>
  <c r="H211" i="8"/>
  <c r="H207" i="8"/>
  <c r="H202" i="8"/>
  <c r="H203" i="8"/>
  <c r="H204" i="8"/>
  <c r="H205" i="8"/>
  <c r="H201" i="8"/>
  <c r="E221" i="8"/>
  <c r="D220" i="8"/>
  <c r="D221" i="8"/>
  <c r="D222" i="8"/>
  <c r="D223" i="8"/>
  <c r="D219" i="8"/>
  <c r="D214" i="8"/>
  <c r="D215" i="8"/>
  <c r="D216" i="8"/>
  <c r="D217" i="8"/>
  <c r="D213" i="8"/>
  <c r="D208" i="8"/>
  <c r="D209" i="8"/>
  <c r="D210" i="8"/>
  <c r="D211" i="8"/>
  <c r="D207" i="8"/>
  <c r="C202" i="8"/>
  <c r="C203" i="8"/>
  <c r="C204" i="8"/>
  <c r="C205" i="8"/>
  <c r="C201" i="8"/>
  <c r="B201" i="8"/>
  <c r="D201" i="8" l="1"/>
  <c r="H55" i="15" l="1"/>
  <c r="H50" i="15"/>
  <c r="H42" i="15"/>
  <c r="J17" i="15"/>
  <c r="C78" i="8" l="1"/>
  <c r="B89" i="8"/>
  <c r="B88" i="8"/>
  <c r="B87" i="8"/>
  <c r="B90" i="8"/>
  <c r="G35" i="2"/>
  <c r="G36" i="2"/>
  <c r="G34" i="2"/>
  <c r="G37" i="2"/>
  <c r="C91" i="6"/>
  <c r="B91" i="6"/>
  <c r="C44" i="6"/>
  <c r="D44" i="6" s="1"/>
  <c r="B75" i="6" s="1"/>
  <c r="B44" i="6"/>
  <c r="P20" i="5"/>
  <c r="P19" i="5"/>
  <c r="P18" i="5"/>
  <c r="P16" i="5"/>
  <c r="P13" i="5"/>
  <c r="P14" i="5"/>
  <c r="P15" i="5"/>
  <c r="P12" i="5"/>
  <c r="P11" i="5"/>
  <c r="P9" i="5"/>
  <c r="P10" i="5"/>
  <c r="P8" i="5"/>
  <c r="P7" i="5"/>
  <c r="C166" i="8" l="1"/>
  <c r="T40" i="14" l="1"/>
  <c r="T41" i="14"/>
  <c r="T42" i="14"/>
  <c r="T39" i="14"/>
  <c r="L40" i="14"/>
  <c r="L41" i="14"/>
  <c r="L42" i="14"/>
  <c r="L39" i="14"/>
  <c r="B57" i="5"/>
  <c r="B19" i="5"/>
  <c r="B18" i="5"/>
  <c r="L38" i="14" l="1"/>
  <c r="B66" i="5"/>
  <c r="B59" i="5"/>
  <c r="B68" i="5" s="1"/>
  <c r="B58" i="5"/>
  <c r="B67" i="5" s="1"/>
  <c r="B228" i="8" l="1"/>
  <c r="B73" i="4"/>
  <c r="B42" i="4"/>
  <c r="E17" i="3"/>
  <c r="E18" i="3"/>
  <c r="E16" i="3"/>
  <c r="E50" i="4" l="1"/>
  <c r="C58" i="5"/>
  <c r="D58" i="5"/>
  <c r="C57" i="5"/>
  <c r="D57" i="5"/>
  <c r="B51" i="5"/>
  <c r="D40" i="5"/>
  <c r="C40" i="5"/>
  <c r="C51" i="5"/>
  <c r="D51" i="5"/>
  <c r="D60" i="5" l="1"/>
  <c r="D69" i="5" s="1"/>
  <c r="C60" i="5"/>
  <c r="C69" i="5" s="1"/>
  <c r="B40" i="5" l="1"/>
  <c r="B60" i="5"/>
  <c r="C50" i="14" l="1"/>
  <c r="AE22" i="14"/>
  <c r="AD22" i="14"/>
  <c r="AC22" i="14"/>
  <c r="AE18" i="14"/>
  <c r="AD18" i="14"/>
  <c r="AC18" i="14"/>
  <c r="AC26" i="14" s="1"/>
  <c r="W33" i="14"/>
  <c r="W38" i="14"/>
  <c r="AB25" i="14"/>
  <c r="AB24" i="14"/>
  <c r="AB23" i="14"/>
  <c r="AA22" i="14"/>
  <c r="Z22" i="14"/>
  <c r="AB21" i="14"/>
  <c r="AB20" i="14"/>
  <c r="AB19" i="14"/>
  <c r="AA18" i="14"/>
  <c r="Z18" i="14"/>
  <c r="W25" i="14"/>
  <c r="W24" i="14"/>
  <c r="W23" i="14"/>
  <c r="V22" i="14"/>
  <c r="U22" i="14"/>
  <c r="W21" i="14"/>
  <c r="W20" i="14"/>
  <c r="W19" i="14"/>
  <c r="V18" i="14"/>
  <c r="U18" i="14"/>
  <c r="T24" i="14"/>
  <c r="T25" i="14"/>
  <c r="T23" i="14"/>
  <c r="T18" i="14"/>
  <c r="S22" i="14"/>
  <c r="R22" i="14"/>
  <c r="S18" i="14"/>
  <c r="R18" i="14"/>
  <c r="B106" i="13"/>
  <c r="B108" i="13" s="1"/>
  <c r="B107" i="13"/>
  <c r="R7" i="5"/>
  <c r="R11" i="5"/>
  <c r="R18" i="5"/>
  <c r="R19" i="5"/>
  <c r="R20" i="5" l="1"/>
  <c r="R16" i="5"/>
  <c r="AD26" i="14"/>
  <c r="AB22" i="14"/>
  <c r="AE26" i="14"/>
  <c r="W43" i="14"/>
  <c r="AB18" i="14"/>
  <c r="V26" i="14"/>
  <c r="W22" i="14"/>
  <c r="Z26" i="14"/>
  <c r="AA26" i="14"/>
  <c r="U26" i="14"/>
  <c r="R26" i="14"/>
  <c r="S26" i="14"/>
  <c r="W18" i="14"/>
  <c r="T22" i="14"/>
  <c r="T26" i="14" s="1"/>
  <c r="R21" i="5" l="1"/>
  <c r="S10" i="5" s="1"/>
  <c r="AB26" i="14"/>
  <c r="W26" i="14"/>
  <c r="B10" i="3" l="1"/>
  <c r="C7" i="2"/>
  <c r="B37" i="10"/>
  <c r="C37" i="10"/>
  <c r="D37" i="10"/>
  <c r="D88" i="6" l="1"/>
  <c r="D108" i="13"/>
  <c r="C108" i="13"/>
  <c r="A36" i="11" l="1"/>
  <c r="C28" i="10"/>
  <c r="B28" i="10"/>
  <c r="D27" i="10"/>
  <c r="D26" i="10"/>
  <c r="D25" i="10"/>
  <c r="B8" i="10"/>
  <c r="D7" i="10"/>
  <c r="C6" i="10"/>
  <c r="D6" i="10" s="1"/>
  <c r="C5" i="10"/>
  <c r="D5" i="10" s="1"/>
  <c r="D28" i="10" l="1"/>
  <c r="C8" i="10"/>
  <c r="D8" i="10" s="1"/>
  <c r="D33" i="6" l="1"/>
  <c r="D32" i="6"/>
  <c r="E37" i="10" l="1"/>
  <c r="F63" i="13" l="1"/>
  <c r="D63" i="13"/>
  <c r="F59" i="13"/>
  <c r="F58" i="13"/>
  <c r="F56" i="13"/>
  <c r="F55" i="13"/>
  <c r="F61" i="13"/>
  <c r="F54" i="13"/>
  <c r="E43" i="13"/>
  <c r="E42" i="13"/>
  <c r="E40" i="13"/>
  <c r="B40" i="13"/>
  <c r="E39" i="13"/>
  <c r="B39" i="13"/>
  <c r="B30" i="13"/>
  <c r="B12" i="13" s="1"/>
  <c r="B29" i="13"/>
  <c r="B11" i="13" s="1"/>
  <c r="B27" i="13"/>
  <c r="B9" i="13" s="1"/>
  <c r="B26" i="13"/>
  <c r="B8" i="13" s="1"/>
  <c r="B24" i="13"/>
  <c r="B6" i="13" s="1"/>
  <c r="C17" i="13"/>
  <c r="C16" i="13" s="1"/>
  <c r="D17" i="13"/>
  <c r="D16" i="13" s="1"/>
  <c r="B16" i="13"/>
  <c r="B22" i="13" s="1"/>
  <c r="C12" i="13"/>
  <c r="D12" i="13"/>
  <c r="C11" i="13"/>
  <c r="D11" i="13"/>
  <c r="B10" i="13"/>
  <c r="C10" i="13"/>
  <c r="D10" i="13"/>
  <c r="C9" i="13"/>
  <c r="D9" i="13"/>
  <c r="C6" i="13"/>
  <c r="D6" i="13"/>
  <c r="D8" i="13" l="1"/>
  <c r="C8" i="13"/>
  <c r="D7" i="13"/>
  <c r="D22" i="13"/>
  <c r="D13" i="13" s="1"/>
  <c r="C7" i="13"/>
  <c r="C22" i="13"/>
  <c r="C13" i="13" s="1"/>
  <c r="B25" i="13"/>
  <c r="B7" i="13" l="1"/>
  <c r="B31" i="13"/>
  <c r="B13" i="13" s="1"/>
  <c r="D6" i="3" l="1"/>
  <c r="D42" i="4" l="1"/>
  <c r="C42" i="4"/>
  <c r="H60" i="14"/>
  <c r="H59" i="14"/>
  <c r="L58" i="14"/>
  <c r="H58" i="14"/>
  <c r="F58" i="14"/>
  <c r="L56" i="14"/>
  <c r="H56" i="14"/>
  <c r="F56" i="14"/>
  <c r="L55" i="14"/>
  <c r="H55" i="14"/>
  <c r="F55" i="14"/>
  <c r="L54" i="14"/>
  <c r="H54" i="14"/>
  <c r="F54" i="14"/>
  <c r="D52" i="14"/>
  <c r="K52" i="14"/>
  <c r="H52" i="14"/>
  <c r="C52" i="14"/>
  <c r="B52" i="14" s="1"/>
  <c r="D51" i="14"/>
  <c r="C51" i="14"/>
  <c r="B51" i="14" s="1"/>
  <c r="K51" i="14"/>
  <c r="H51" i="14"/>
  <c r="E51" i="14"/>
  <c r="D50" i="14"/>
  <c r="B50" i="14" s="1"/>
  <c r="K50" i="14"/>
  <c r="H50" i="14"/>
  <c r="E50" i="14"/>
  <c r="AB40" i="14"/>
  <c r="AB41" i="14"/>
  <c r="AB42" i="14"/>
  <c r="AB39" i="14"/>
  <c r="C42" i="14"/>
  <c r="B42" i="14"/>
  <c r="D42" i="14" s="1"/>
  <c r="C41" i="14"/>
  <c r="B41" i="14"/>
  <c r="D41" i="14" s="1"/>
  <c r="C40" i="14"/>
  <c r="B40" i="14"/>
  <c r="D40" i="14" s="1"/>
  <c r="C39" i="14"/>
  <c r="B39" i="14"/>
  <c r="AA38" i="14"/>
  <c r="Z38" i="14"/>
  <c r="AD38" i="14"/>
  <c r="AC38" i="14"/>
  <c r="S38" i="14"/>
  <c r="R38" i="14"/>
  <c r="V38" i="14"/>
  <c r="U38" i="14"/>
  <c r="K38" i="14"/>
  <c r="J38" i="14"/>
  <c r="AB37" i="14"/>
  <c r="T37" i="14"/>
  <c r="L37" i="14"/>
  <c r="C37" i="14"/>
  <c r="B37" i="14"/>
  <c r="D37" i="14" s="1"/>
  <c r="AB36" i="14"/>
  <c r="T36" i="14"/>
  <c r="L36" i="14"/>
  <c r="C36" i="14"/>
  <c r="B36" i="14"/>
  <c r="D36" i="14" s="1"/>
  <c r="AB35" i="14"/>
  <c r="T35" i="14"/>
  <c r="L35" i="14"/>
  <c r="C35" i="14"/>
  <c r="B35" i="14"/>
  <c r="AB34" i="14"/>
  <c r="T34" i="14"/>
  <c r="L34" i="14"/>
  <c r="C34" i="14"/>
  <c r="B34" i="14"/>
  <c r="D34" i="14" s="1"/>
  <c r="AA33" i="14"/>
  <c r="Z33" i="14"/>
  <c r="AD33" i="14"/>
  <c r="AC33" i="14"/>
  <c r="S33" i="14"/>
  <c r="R33" i="14"/>
  <c r="V33" i="14"/>
  <c r="U33" i="14"/>
  <c r="K33" i="14"/>
  <c r="J33" i="14"/>
  <c r="L25" i="14"/>
  <c r="L24" i="14"/>
  <c r="L23" i="14"/>
  <c r="K22" i="14"/>
  <c r="J22" i="14"/>
  <c r="L21" i="14"/>
  <c r="L20" i="14"/>
  <c r="L19" i="14"/>
  <c r="K18" i="14"/>
  <c r="J18" i="14"/>
  <c r="D35" i="14" l="1"/>
  <c r="D39" i="14"/>
  <c r="L18" i="14"/>
  <c r="R43" i="14"/>
  <c r="C55" i="14"/>
  <c r="B55" i="14" s="1"/>
  <c r="E42" i="4"/>
  <c r="S43" i="14"/>
  <c r="AD43" i="14"/>
  <c r="C56" i="14"/>
  <c r="B56" i="14" s="1"/>
  <c r="E52" i="14"/>
  <c r="C58" i="14"/>
  <c r="B58" i="14" s="1"/>
  <c r="C54" i="14"/>
  <c r="B54" i="14" s="1"/>
  <c r="AB38" i="14"/>
  <c r="K43" i="14"/>
  <c r="AA43" i="14"/>
  <c r="B38" i="14"/>
  <c r="AB33" i="14"/>
  <c r="T33" i="14"/>
  <c r="AC43" i="14"/>
  <c r="C38" i="14"/>
  <c r="D38" i="14"/>
  <c r="J43" i="14"/>
  <c r="Z43" i="14"/>
  <c r="B33" i="14"/>
  <c r="U43" i="14"/>
  <c r="L33" i="14"/>
  <c r="V43" i="14"/>
  <c r="C33" i="14"/>
  <c r="T38" i="14"/>
  <c r="K26" i="14"/>
  <c r="L22" i="14"/>
  <c r="J26" i="14"/>
  <c r="B9" i="5"/>
  <c r="B12" i="5"/>
  <c r="B13" i="5"/>
  <c r="B14" i="5"/>
  <c r="B15" i="5"/>
  <c r="B8" i="5"/>
  <c r="H11" i="5"/>
  <c r="H7" i="5"/>
  <c r="F11" i="5"/>
  <c r="D11" i="5"/>
  <c r="F7" i="5"/>
  <c r="AE43" i="14" l="1"/>
  <c r="L26" i="14"/>
  <c r="T43" i="14"/>
  <c r="C43" i="14"/>
  <c r="AB43" i="14"/>
  <c r="B43" i="14"/>
  <c r="D33" i="14"/>
  <c r="D43" i="14" s="1"/>
  <c r="L43" i="14"/>
  <c r="B11" i="5"/>
  <c r="H16" i="5"/>
  <c r="F16" i="5"/>
  <c r="H20" i="5"/>
  <c r="D20" i="5"/>
  <c r="F20" i="5"/>
  <c r="B20" i="5" l="1"/>
  <c r="H21" i="5"/>
  <c r="I15" i="5" s="1"/>
  <c r="I12" i="5"/>
  <c r="I8" i="5"/>
  <c r="I7" i="5"/>
  <c r="I20" i="5"/>
  <c r="I19" i="5"/>
  <c r="I16" i="5"/>
  <c r="I11" i="5"/>
  <c r="F21" i="5"/>
  <c r="G18" i="5" l="1"/>
  <c r="B28" i="5"/>
  <c r="I14" i="5"/>
  <c r="B29" i="5"/>
  <c r="G21" i="5"/>
  <c r="G10" i="5"/>
  <c r="I21" i="5"/>
  <c r="I10" i="5"/>
  <c r="I18" i="5"/>
  <c r="I13" i="5"/>
  <c r="I9" i="5"/>
  <c r="G15" i="5"/>
  <c r="G14" i="5"/>
  <c r="G9" i="5"/>
  <c r="G8" i="5"/>
  <c r="G13" i="5"/>
  <c r="G12" i="5"/>
  <c r="G11" i="5"/>
  <c r="G7" i="5"/>
  <c r="G16" i="5"/>
  <c r="G19" i="5"/>
  <c r="G20" i="5"/>
  <c r="L47" i="2" l="1"/>
  <c r="J47" i="2"/>
  <c r="I47" i="2"/>
  <c r="G47" i="2"/>
  <c r="F47" i="2"/>
  <c r="E47" i="2"/>
  <c r="D47" i="2"/>
  <c r="C47" i="2"/>
  <c r="B47" i="2"/>
  <c r="L37" i="2"/>
  <c r="J37" i="2"/>
  <c r="I37" i="2"/>
  <c r="F37" i="2"/>
  <c r="E37" i="2"/>
  <c r="D37" i="2"/>
  <c r="C37" i="2"/>
  <c r="B37" i="2"/>
  <c r="D11" i="2"/>
  <c r="C11" i="2"/>
  <c r="C6" i="2" s="1"/>
  <c r="F7" i="2"/>
  <c r="F6" i="2" s="1"/>
  <c r="E7" i="2"/>
  <c r="E6" i="2" s="1"/>
  <c r="D7" i="2"/>
  <c r="D269" i="8"/>
  <c r="C272" i="8"/>
  <c r="D271" i="8"/>
  <c r="D270" i="8"/>
  <c r="B272" i="8"/>
  <c r="M232" i="8"/>
  <c r="L232" i="8"/>
  <c r="K232" i="8"/>
  <c r="P232" i="8"/>
  <c r="O232" i="8"/>
  <c r="N232" i="8"/>
  <c r="M231" i="8"/>
  <c r="L231" i="8"/>
  <c r="K231" i="8"/>
  <c r="P231" i="8"/>
  <c r="O231" i="8"/>
  <c r="N231" i="8"/>
  <c r="M230" i="8"/>
  <c r="L230" i="8"/>
  <c r="K230" i="8"/>
  <c r="P230" i="8"/>
  <c r="O230" i="8"/>
  <c r="N230" i="8"/>
  <c r="M229" i="8"/>
  <c r="L229" i="8"/>
  <c r="K229" i="8"/>
  <c r="P229" i="8"/>
  <c r="O229" i="8"/>
  <c r="N229" i="8"/>
  <c r="M228" i="8"/>
  <c r="L228" i="8"/>
  <c r="K228" i="8"/>
  <c r="P228" i="8"/>
  <c r="O228" i="8"/>
  <c r="N228" i="8"/>
  <c r="E250" i="8"/>
  <c r="E249" i="8"/>
  <c r="E248" i="8"/>
  <c r="E247" i="8"/>
  <c r="E246" i="8"/>
  <c r="E244" i="8"/>
  <c r="E243" i="8"/>
  <c r="E242" i="8"/>
  <c r="E241" i="8"/>
  <c r="E240" i="8"/>
  <c r="E238" i="8"/>
  <c r="E237" i="8"/>
  <c r="E236" i="8"/>
  <c r="E235" i="8"/>
  <c r="E234" i="8"/>
  <c r="D232" i="8"/>
  <c r="C232" i="8"/>
  <c r="B232" i="8"/>
  <c r="D231" i="8"/>
  <c r="C231" i="8"/>
  <c r="B231" i="8"/>
  <c r="D230" i="8"/>
  <c r="C230" i="8"/>
  <c r="B230" i="8"/>
  <c r="D229" i="8"/>
  <c r="B229" i="8"/>
  <c r="D228" i="8"/>
  <c r="C228" i="8"/>
  <c r="M205" i="8"/>
  <c r="L205" i="8"/>
  <c r="M204" i="8"/>
  <c r="L204" i="8"/>
  <c r="M203" i="8"/>
  <c r="L203" i="8"/>
  <c r="M202" i="8"/>
  <c r="L202" i="8"/>
  <c r="M201" i="8"/>
  <c r="L201" i="8"/>
  <c r="E223" i="8"/>
  <c r="E222" i="8"/>
  <c r="E220" i="8"/>
  <c r="E219" i="8"/>
  <c r="E213" i="8"/>
  <c r="E211" i="8"/>
  <c r="B205" i="8"/>
  <c r="B204" i="8"/>
  <c r="B203" i="8"/>
  <c r="B202" i="8"/>
  <c r="D6" i="2" l="1"/>
  <c r="D272" i="8"/>
  <c r="E207" i="8"/>
  <c r="E216" i="8"/>
  <c r="E215" i="8"/>
  <c r="E214" i="8"/>
  <c r="E210" i="8"/>
  <c r="E209" i="8"/>
  <c r="E208" i="8"/>
  <c r="E217" i="8"/>
  <c r="E228" i="8"/>
  <c r="H228" i="8" s="1"/>
  <c r="E231" i="8"/>
  <c r="E232" i="8"/>
  <c r="H232" i="8" s="1"/>
  <c r="E230" i="8"/>
  <c r="H230" i="8" s="1"/>
  <c r="E229" i="8"/>
  <c r="H229" i="8" s="1"/>
  <c r="E201" i="8"/>
  <c r="D203" i="8"/>
  <c r="E203" i="8" s="1"/>
  <c r="D204" i="8"/>
  <c r="D205" i="8"/>
  <c r="D202" i="8"/>
  <c r="E202" i="8" s="1"/>
  <c r="H189" i="8"/>
  <c r="H188" i="8"/>
  <c r="E189" i="8"/>
  <c r="E188" i="8"/>
  <c r="C189" i="8"/>
  <c r="C188" i="8"/>
  <c r="D189" i="8"/>
  <c r="D188" i="8"/>
  <c r="F187" i="8"/>
  <c r="G187" i="8"/>
  <c r="I187" i="8"/>
  <c r="J187" i="8"/>
  <c r="C179" i="8"/>
  <c r="B179" i="8"/>
  <c r="D179" i="8"/>
  <c r="E179" i="8" s="1"/>
  <c r="C178" i="8"/>
  <c r="B178" i="8"/>
  <c r="D178" i="8"/>
  <c r="E178" i="8" s="1"/>
  <c r="C177" i="8"/>
  <c r="B177" i="8"/>
  <c r="D177" i="8"/>
  <c r="E177" i="8" s="1"/>
  <c r="C175" i="8"/>
  <c r="B175" i="8"/>
  <c r="D175" i="8"/>
  <c r="F175" i="8"/>
  <c r="C174" i="8"/>
  <c r="B174" i="8"/>
  <c r="D174" i="8"/>
  <c r="F174" i="8"/>
  <c r="C172" i="8"/>
  <c r="B172" i="8"/>
  <c r="D172" i="8"/>
  <c r="F172" i="8"/>
  <c r="C171" i="8"/>
  <c r="B171" i="8"/>
  <c r="D171" i="8"/>
  <c r="F171" i="8"/>
  <c r="C170" i="8"/>
  <c r="B170" i="8"/>
  <c r="D170" i="8"/>
  <c r="F170" i="8"/>
  <c r="C168" i="8"/>
  <c r="B168" i="8"/>
  <c r="C167" i="8"/>
  <c r="B167" i="8"/>
  <c r="D167" i="8"/>
  <c r="D166" i="8" s="1"/>
  <c r="F167" i="8"/>
  <c r="F166" i="8" s="1"/>
  <c r="B166" i="8"/>
  <c r="E166" i="8"/>
  <c r="G166" i="8"/>
  <c r="G145" i="8"/>
  <c r="I88" i="8"/>
  <c r="J85" i="8"/>
  <c r="K85" i="8"/>
  <c r="J84" i="8"/>
  <c r="J83" i="8"/>
  <c r="K82" i="8"/>
  <c r="B85" i="8"/>
  <c r="B84" i="8"/>
  <c r="B83" i="8"/>
  <c r="C86" i="8"/>
  <c r="D86" i="8"/>
  <c r="C85" i="8"/>
  <c r="D85" i="8"/>
  <c r="C84" i="8"/>
  <c r="D84" i="8"/>
  <c r="C83" i="8"/>
  <c r="D83" i="8"/>
  <c r="K77" i="8"/>
  <c r="J76" i="8"/>
  <c r="I76" i="8"/>
  <c r="E77" i="8"/>
  <c r="D76" i="8"/>
  <c r="I84" i="8" s="1"/>
  <c r="C76" i="8"/>
  <c r="B76" i="8"/>
  <c r="C69" i="8"/>
  <c r="B69" i="8"/>
  <c r="A69" i="8"/>
  <c r="C67" i="8"/>
  <c r="B67" i="8"/>
  <c r="A67" i="8"/>
  <c r="C65" i="8"/>
  <c r="B65" i="8"/>
  <c r="A65" i="8"/>
  <c r="C63" i="8"/>
  <c r="B63" i="8"/>
  <c r="A63" i="8"/>
  <c r="C61" i="8"/>
  <c r="B61" i="8"/>
  <c r="A61" i="8"/>
  <c r="C59" i="8"/>
  <c r="B59" i="8"/>
  <c r="A59" i="8"/>
  <c r="Y69" i="8"/>
  <c r="Y67" i="8"/>
  <c r="Y65" i="8"/>
  <c r="Y63" i="8"/>
  <c r="Y61" i="8"/>
  <c r="Y59" i="8"/>
  <c r="R69" i="8"/>
  <c r="R67" i="8"/>
  <c r="R65" i="8"/>
  <c r="R63" i="8"/>
  <c r="R61" i="8"/>
  <c r="R59" i="8"/>
  <c r="K69" i="8"/>
  <c r="K67" i="8"/>
  <c r="K65" i="8"/>
  <c r="K63" i="8"/>
  <c r="K61" i="8"/>
  <c r="K59" i="8"/>
  <c r="E52" i="8"/>
  <c r="D52" i="8"/>
  <c r="C52" i="8"/>
  <c r="B52" i="8"/>
  <c r="A52" i="8"/>
  <c r="E48" i="8"/>
  <c r="D48" i="8"/>
  <c r="C48" i="8"/>
  <c r="B48" i="8"/>
  <c r="A48" i="8"/>
  <c r="E46" i="8"/>
  <c r="D46" i="8"/>
  <c r="C46" i="8"/>
  <c r="B46" i="8"/>
  <c r="A46" i="8"/>
  <c r="A44" i="8"/>
  <c r="E42" i="8"/>
  <c r="D42" i="8"/>
  <c r="C42" i="8"/>
  <c r="B42" i="8"/>
  <c r="A42" i="8"/>
  <c r="AA52" i="8"/>
  <c r="Z50" i="8"/>
  <c r="Y50" i="8"/>
  <c r="D50" i="8" s="1"/>
  <c r="X50" i="8"/>
  <c r="C50" i="8" s="1"/>
  <c r="W50" i="8"/>
  <c r="B50" i="8" s="1"/>
  <c r="V50" i="8"/>
  <c r="A50" i="8" s="1"/>
  <c r="AA48" i="8"/>
  <c r="AA46" i="8"/>
  <c r="Z44" i="8"/>
  <c r="E44" i="8" s="1"/>
  <c r="Y44" i="8"/>
  <c r="D44" i="8" s="1"/>
  <c r="X44" i="8"/>
  <c r="C44" i="8" s="1"/>
  <c r="W44" i="8"/>
  <c r="B44" i="8" s="1"/>
  <c r="AA42" i="8"/>
  <c r="T52" i="8"/>
  <c r="T50" i="8"/>
  <c r="T48" i="8"/>
  <c r="T46" i="8"/>
  <c r="T44" i="8"/>
  <c r="T42" i="8"/>
  <c r="M52" i="8"/>
  <c r="M50" i="8"/>
  <c r="M48" i="8"/>
  <c r="M46" i="8"/>
  <c r="M44" i="8"/>
  <c r="M42" i="8"/>
  <c r="D35" i="8"/>
  <c r="B35" i="8"/>
  <c r="A35" i="8"/>
  <c r="D33" i="8"/>
  <c r="B33" i="8"/>
  <c r="A33" i="8"/>
  <c r="D31" i="8"/>
  <c r="B31" i="8"/>
  <c r="A31" i="8"/>
  <c r="D29" i="8"/>
  <c r="B29" i="8"/>
  <c r="A29" i="8"/>
  <c r="D27" i="8"/>
  <c r="B27" i="8"/>
  <c r="A27" i="8"/>
  <c r="D25" i="8"/>
  <c r="B25" i="8"/>
  <c r="A25" i="8"/>
  <c r="X35" i="8"/>
  <c r="Z35" i="8" s="1"/>
  <c r="X33" i="8"/>
  <c r="Z33" i="8" s="1"/>
  <c r="X31" i="8"/>
  <c r="Z31" i="8" s="1"/>
  <c r="X29" i="8"/>
  <c r="Z29" i="8" s="1"/>
  <c r="X27" i="8"/>
  <c r="Z27" i="8" s="1"/>
  <c r="X25" i="8"/>
  <c r="Z25" i="8" s="1"/>
  <c r="Q35" i="8"/>
  <c r="S35" i="8" s="1"/>
  <c r="Q33" i="8"/>
  <c r="S33" i="8" s="1"/>
  <c r="Q31" i="8"/>
  <c r="S31" i="8" s="1"/>
  <c r="Q29" i="8"/>
  <c r="S29" i="8" s="1"/>
  <c r="Q27" i="8"/>
  <c r="S27" i="8" s="1"/>
  <c r="Q25" i="8"/>
  <c r="S25" i="8" s="1"/>
  <c r="J35" i="8"/>
  <c r="L35" i="8" s="1"/>
  <c r="J33" i="8"/>
  <c r="L33" i="8" s="1"/>
  <c r="J31" i="8"/>
  <c r="J29" i="8"/>
  <c r="L29" i="8" s="1"/>
  <c r="J27" i="8"/>
  <c r="J25" i="8"/>
  <c r="C16" i="8"/>
  <c r="B16" i="8"/>
  <c r="A16" i="8"/>
  <c r="A14" i="8"/>
  <c r="B12" i="8"/>
  <c r="A12" i="8"/>
  <c r="B10" i="8"/>
  <c r="A10" i="8"/>
  <c r="B8" i="8"/>
  <c r="A8" i="8"/>
  <c r="D18" i="8"/>
  <c r="C18" i="8"/>
  <c r="B18" i="8"/>
  <c r="D16" i="8"/>
  <c r="D14" i="8"/>
  <c r="C14" i="8"/>
  <c r="D12" i="8"/>
  <c r="C12" i="8"/>
  <c r="D10" i="8"/>
  <c r="C10" i="8"/>
  <c r="D8" i="8"/>
  <c r="S18" i="8"/>
  <c r="S16" i="8"/>
  <c r="S14" i="8"/>
  <c r="S12" i="8"/>
  <c r="S10" i="8"/>
  <c r="S8" i="8"/>
  <c r="L18" i="8"/>
  <c r="L16" i="8"/>
  <c r="L14" i="8"/>
  <c r="L12" i="8"/>
  <c r="L10" i="8"/>
  <c r="L8" i="8"/>
  <c r="C79" i="5"/>
  <c r="B75" i="5"/>
  <c r="E205" i="8" l="1"/>
  <c r="E204" i="8"/>
  <c r="D200" i="8"/>
  <c r="H187" i="8"/>
  <c r="B188" i="8"/>
  <c r="B192" i="8" s="1"/>
  <c r="D187" i="8"/>
  <c r="E187" i="8"/>
  <c r="C187" i="8"/>
  <c r="B189" i="8"/>
  <c r="B193" i="8" s="1"/>
  <c r="J82" i="8"/>
  <c r="D82" i="8"/>
  <c r="I85" i="8"/>
  <c r="I83" i="8"/>
  <c r="I82" i="8" s="1"/>
  <c r="B86" i="8"/>
  <c r="B82" i="8" s="1"/>
  <c r="C82" i="8"/>
  <c r="K76" i="8"/>
  <c r="E76" i="8"/>
  <c r="D61" i="8"/>
  <c r="D63" i="8"/>
  <c r="D69" i="8"/>
  <c r="D67" i="8"/>
  <c r="D59" i="8"/>
  <c r="D65" i="8"/>
  <c r="F42" i="8"/>
  <c r="F52" i="8"/>
  <c r="AA50" i="8"/>
  <c r="F46" i="8"/>
  <c r="F48" i="8"/>
  <c r="F44" i="8"/>
  <c r="E50" i="8"/>
  <c r="F50" i="8" s="1"/>
  <c r="AA44" i="8"/>
  <c r="C25" i="8"/>
  <c r="E25" i="8" s="1"/>
  <c r="C27" i="8"/>
  <c r="E27" i="8" s="1"/>
  <c r="C31" i="8"/>
  <c r="E31" i="8" s="1"/>
  <c r="E8" i="8"/>
  <c r="E10" i="8"/>
  <c r="A18" i="8"/>
  <c r="E18" i="8" s="1"/>
  <c r="B14" i="8"/>
  <c r="E14" i="8" s="1"/>
  <c r="L27" i="8"/>
  <c r="E16" i="8"/>
  <c r="C35" i="8"/>
  <c r="E35" i="8" s="1"/>
  <c r="E12" i="8"/>
  <c r="C29" i="8"/>
  <c r="L31" i="8"/>
  <c r="C33" i="8"/>
  <c r="E33" i="8" s="1"/>
  <c r="C8" i="8"/>
  <c r="L25" i="8"/>
  <c r="B29" i="4"/>
  <c r="B28" i="4"/>
  <c r="B27" i="4"/>
  <c r="B26" i="4"/>
  <c r="B25" i="4"/>
  <c r="B24" i="4"/>
  <c r="H17" i="4"/>
  <c r="D17" i="4"/>
  <c r="B17" i="4"/>
  <c r="K67" i="15"/>
  <c r="J67" i="15"/>
  <c r="E66" i="15"/>
  <c r="E67" i="15" s="1"/>
  <c r="D66" i="15"/>
  <c r="D67" i="15" s="1"/>
  <c r="C66" i="15"/>
  <c r="F66" i="15"/>
  <c r="I66" i="15"/>
  <c r="B65" i="15"/>
  <c r="F65" i="15"/>
  <c r="I65" i="15"/>
  <c r="B64" i="15"/>
  <c r="F64" i="15"/>
  <c r="I64" i="15"/>
  <c r="B63" i="15"/>
  <c r="H63" i="15"/>
  <c r="F63" i="15" s="1"/>
  <c r="I63" i="15"/>
  <c r="D55" i="15"/>
  <c r="C55" i="15"/>
  <c r="F55" i="15"/>
  <c r="K55" i="15"/>
  <c r="I55" i="15" s="1"/>
  <c r="B54" i="15"/>
  <c r="F54" i="15"/>
  <c r="I54" i="15"/>
  <c r="B53" i="15"/>
  <c r="F53" i="15"/>
  <c r="I53" i="15"/>
  <c r="B52" i="15"/>
  <c r="F52" i="15"/>
  <c r="I52" i="15"/>
  <c r="D50" i="15"/>
  <c r="B50" i="15" s="1"/>
  <c r="F50" i="15"/>
  <c r="J50" i="15"/>
  <c r="B49" i="15"/>
  <c r="F49" i="15"/>
  <c r="I49" i="15"/>
  <c r="E47" i="15"/>
  <c r="D47" i="15"/>
  <c r="C47" i="15"/>
  <c r="G47" i="15"/>
  <c r="J47" i="15"/>
  <c r="B46" i="15"/>
  <c r="F46" i="15"/>
  <c r="I46" i="15"/>
  <c r="B45" i="15"/>
  <c r="F45" i="15"/>
  <c r="I45" i="15"/>
  <c r="B44" i="15"/>
  <c r="F44" i="15"/>
  <c r="I44" i="15"/>
  <c r="B43" i="15"/>
  <c r="F43" i="15"/>
  <c r="I43" i="15"/>
  <c r="B42" i="15"/>
  <c r="H47" i="15"/>
  <c r="K42" i="15"/>
  <c r="I42" i="15" s="1"/>
  <c r="L34" i="15"/>
  <c r="B32" i="15"/>
  <c r="G32" i="15"/>
  <c r="B29" i="15"/>
  <c r="I29" i="15"/>
  <c r="I28" i="15" s="1"/>
  <c r="J29" i="15"/>
  <c r="J28" i="15" s="1"/>
  <c r="F28" i="15"/>
  <c r="E28" i="15"/>
  <c r="D28" i="15"/>
  <c r="C28" i="15"/>
  <c r="H28" i="15"/>
  <c r="L28" i="15"/>
  <c r="K28" i="15"/>
  <c r="K34" i="15" s="1"/>
  <c r="B27" i="15"/>
  <c r="G27" i="15"/>
  <c r="J27" i="15"/>
  <c r="B26" i="15"/>
  <c r="G26" i="15"/>
  <c r="J26" i="15"/>
  <c r="E25" i="15"/>
  <c r="D25" i="15"/>
  <c r="C25" i="15"/>
  <c r="I25" i="15"/>
  <c r="H25" i="15"/>
  <c r="J25" i="15"/>
  <c r="B24" i="15"/>
  <c r="G24" i="15"/>
  <c r="J24" i="15"/>
  <c r="B23" i="15"/>
  <c r="G23" i="15"/>
  <c r="J23" i="15"/>
  <c r="E22" i="15"/>
  <c r="D22" i="15"/>
  <c r="C22" i="15"/>
  <c r="I22" i="15"/>
  <c r="H22" i="15"/>
  <c r="J22" i="15"/>
  <c r="B21" i="15"/>
  <c r="J21" i="15"/>
  <c r="H21" i="15" s="1"/>
  <c r="B20" i="15"/>
  <c r="G20" i="15"/>
  <c r="J20" i="15"/>
  <c r="E19" i="15"/>
  <c r="D19" i="15"/>
  <c r="C19" i="15"/>
  <c r="J19" i="15"/>
  <c r="B18" i="15"/>
  <c r="G18" i="15"/>
  <c r="B17" i="15"/>
  <c r="I17" i="15"/>
  <c r="G17" i="15" s="1"/>
  <c r="E16" i="15"/>
  <c r="D16" i="15"/>
  <c r="C16" i="15"/>
  <c r="H16" i="15"/>
  <c r="J16" i="15"/>
  <c r="B187" i="8" l="1"/>
  <c r="C46" i="4"/>
  <c r="D46" i="4"/>
  <c r="E29" i="8"/>
  <c r="E46" i="4"/>
  <c r="B55" i="15"/>
  <c r="B66" i="15"/>
  <c r="B67" i="15" s="1"/>
  <c r="B47" i="15"/>
  <c r="I67" i="15"/>
  <c r="F67" i="15"/>
  <c r="C67" i="15"/>
  <c r="K47" i="15"/>
  <c r="I47" i="15" s="1"/>
  <c r="F42" i="15"/>
  <c r="F47" i="15" s="1"/>
  <c r="B28" i="15"/>
  <c r="K50" i="15"/>
  <c r="I50" i="15" s="1"/>
  <c r="D34" i="15"/>
  <c r="B19" i="15"/>
  <c r="B16" i="15"/>
  <c r="E34" i="15"/>
  <c r="B22" i="15"/>
  <c r="B25" i="15"/>
  <c r="J34" i="15"/>
  <c r="G25" i="15"/>
  <c r="F25" i="15" s="1"/>
  <c r="H19" i="15"/>
  <c r="I21" i="15"/>
  <c r="I19" i="15" s="1"/>
  <c r="G29" i="15"/>
  <c r="G28" i="15" s="1"/>
  <c r="C34" i="15"/>
  <c r="I16" i="15"/>
  <c r="G16" i="15" s="1"/>
  <c r="G22" i="15"/>
  <c r="F22" i="15" l="1"/>
  <c r="F34" i="15" s="1"/>
  <c r="B34" i="15"/>
  <c r="G21" i="15"/>
  <c r="I34" i="15"/>
  <c r="H34" i="15"/>
  <c r="G19" i="15"/>
  <c r="G34" i="15" s="1"/>
  <c r="C6" i="12" l="1"/>
  <c r="C8" i="12" s="1"/>
  <c r="B6" i="12"/>
  <c r="B8" i="12" s="1"/>
  <c r="D5" i="12"/>
  <c r="O25" i="6"/>
  <c r="O23" i="6"/>
  <c r="B15" i="16"/>
  <c r="B69" i="5" s="1"/>
  <c r="B14" i="16"/>
  <c r="D8" i="12" l="1"/>
  <c r="D6" i="12"/>
  <c r="N19" i="5" l="1"/>
  <c r="L19" i="5"/>
  <c r="T19" i="5"/>
  <c r="N18" i="5"/>
  <c r="L18" i="5"/>
  <c r="T18" i="5"/>
  <c r="J15" i="5"/>
  <c r="J14" i="5"/>
  <c r="J13" i="5"/>
  <c r="J12" i="5"/>
  <c r="N11" i="5"/>
  <c r="L11" i="5"/>
  <c r="T11" i="5"/>
  <c r="J9" i="5"/>
  <c r="J8" i="5"/>
  <c r="N7" i="5"/>
  <c r="T7" i="5"/>
  <c r="T16" i="5" l="1"/>
  <c r="T20" i="5"/>
  <c r="J18" i="5"/>
  <c r="N16" i="5"/>
  <c r="J11" i="5"/>
  <c r="N20" i="5"/>
  <c r="J19" i="5"/>
  <c r="L20" i="5"/>
  <c r="T21" i="5" l="1"/>
  <c r="S20" i="5"/>
  <c r="N21" i="5"/>
  <c r="J20" i="5"/>
  <c r="O7" i="5" l="1"/>
  <c r="O10" i="5"/>
  <c r="U16" i="5"/>
  <c r="U10" i="5"/>
  <c r="L10" i="5" s="1"/>
  <c r="U20" i="5"/>
  <c r="U8" i="5"/>
  <c r="U15" i="5"/>
  <c r="U9" i="5"/>
  <c r="U13" i="5"/>
  <c r="U14" i="5"/>
  <c r="U12" i="5"/>
  <c r="U21" i="5"/>
  <c r="U18" i="5"/>
  <c r="U19" i="5"/>
  <c r="U7" i="5"/>
  <c r="U11" i="5"/>
  <c r="S12" i="5"/>
  <c r="S21" i="5"/>
  <c r="S14" i="5"/>
  <c r="S9" i="5"/>
  <c r="S13" i="5"/>
  <c r="S15" i="5"/>
  <c r="S8" i="5"/>
  <c r="S11" i="5"/>
  <c r="S18" i="5"/>
  <c r="S19" i="5"/>
  <c r="S7" i="5"/>
  <c r="S16" i="5"/>
  <c r="P21" i="5" s="1"/>
  <c r="D30" i="5" s="1"/>
  <c r="O21" i="5"/>
  <c r="O20" i="5"/>
  <c r="O15" i="5"/>
  <c r="O14" i="5"/>
  <c r="O13" i="5"/>
  <c r="O9" i="5"/>
  <c r="O12" i="5"/>
  <c r="O8" i="5"/>
  <c r="O11" i="5"/>
  <c r="O16" i="5"/>
  <c r="O19" i="5"/>
  <c r="O18" i="5"/>
  <c r="Q16" i="5" l="1"/>
  <c r="Q10" i="5"/>
  <c r="J10" i="5"/>
  <c r="Q21" i="5"/>
  <c r="Q8" i="5"/>
  <c r="Q13" i="5"/>
  <c r="Q9" i="5"/>
  <c r="Q14" i="5"/>
  <c r="Q12" i="5"/>
  <c r="Q15" i="5"/>
  <c r="Q7" i="5"/>
  <c r="Q18" i="5"/>
  <c r="Q19" i="5"/>
  <c r="Q11" i="5"/>
  <c r="Q20" i="5"/>
  <c r="L7" i="5" l="1"/>
  <c r="L16" i="5" l="1"/>
  <c r="J7" i="5"/>
  <c r="L21" i="5" l="1"/>
  <c r="J16" i="5"/>
  <c r="M21" i="5" l="1"/>
  <c r="M10" i="5"/>
  <c r="M16" i="5"/>
  <c r="M19" i="5"/>
  <c r="M11" i="5"/>
  <c r="M15" i="5"/>
  <c r="M18" i="5"/>
  <c r="M12" i="5"/>
  <c r="M20" i="5"/>
  <c r="M13" i="5"/>
  <c r="M9" i="5"/>
  <c r="M8" i="5"/>
  <c r="M14" i="5"/>
  <c r="M7" i="5"/>
  <c r="J21" i="5"/>
  <c r="K10" i="5" l="1"/>
  <c r="D10" i="5" s="1"/>
  <c r="D7" i="5" s="1"/>
  <c r="B7" i="5" s="1"/>
  <c r="C30" i="5"/>
  <c r="K21" i="5"/>
  <c r="K8" i="5"/>
  <c r="K19" i="5"/>
  <c r="K14" i="5"/>
  <c r="K13" i="5"/>
  <c r="K18" i="5"/>
  <c r="K15" i="5"/>
  <c r="K20" i="5"/>
  <c r="K12" i="5"/>
  <c r="K9" i="5"/>
  <c r="K11" i="5"/>
  <c r="K7" i="5"/>
  <c r="K16" i="5"/>
  <c r="B10" i="5" l="1"/>
  <c r="D16" i="5"/>
  <c r="B16" i="5" l="1"/>
  <c r="D21" i="5"/>
  <c r="B27" i="5" l="1"/>
  <c r="E18" i="5"/>
  <c r="E19" i="5"/>
  <c r="B21" i="5"/>
  <c r="B30" i="5" s="1"/>
  <c r="E21" i="5"/>
  <c r="E10" i="5"/>
  <c r="E16" i="5"/>
  <c r="E12" i="5"/>
  <c r="E11" i="5"/>
  <c r="E8" i="5"/>
  <c r="E20" i="5"/>
  <c r="E15" i="5"/>
  <c r="E13" i="5"/>
  <c r="E14" i="5"/>
  <c r="E9" i="5"/>
  <c r="E7" i="5"/>
  <c r="C21" i="5" l="1"/>
  <c r="C7" i="5"/>
  <c r="C10" i="5"/>
  <c r="C16" i="5"/>
  <c r="C9" i="5"/>
  <c r="C12" i="5"/>
  <c r="C14" i="5"/>
  <c r="C18" i="5"/>
  <c r="C11" i="5"/>
  <c r="C8" i="5"/>
  <c r="C15" i="5"/>
  <c r="C19" i="5"/>
  <c r="C13" i="5"/>
  <c r="C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tc={90112153-54A1-4700-8DA6-0CEF031A44D5}</author>
    <author>tc={B88C608C-08F0-41AB-AEBC-3099945545FA}</author>
    <author>tc={8047059C-5564-41E1-8409-E165DD43EE39}</author>
  </authors>
  <commentList>
    <comment ref="A8" authorId="0" shapeId="0" xr:uid="{90112153-54A1-4700-8DA6-0CEF031A44D5}">
      <text>
        <t>[Threaded comment]
Your version of Excel allows you to read this threaded comment; however, any edits to it will get removed if the file is opened in a newer version of Excel. Learn more: https://go.microsoft.com/fwlink/?linkid=870924
Comment:
    Includes "Capital expenditures", Care and Maintainance Costs" and "Exploration Costs" detailed in previous years</t>
      </text>
    </comment>
    <comment ref="A17" authorId="1" shapeId="0" xr:uid="{B88C608C-08F0-41AB-AEBC-3099945545FA}">
      <text>
        <t>[Threaded comment]
Your version of Excel allows you to read this threaded comment; however, any edits to it will get removed if the file is opened in a newer version of Excel. Learn more: https://go.microsoft.com/fwlink/?linkid=870924
Comment:
    Includes  "Capital expenditures", "Care and Maintainance Costs" and "Exploration Costs" detailed in previous years</t>
      </text>
    </comment>
    <comment ref="A26" authorId="2" shapeId="0" xr:uid="{8047059C-5564-41E1-8409-E165DD43EE39}">
      <text>
        <t>[Threaded comment]
Your version of Excel allows you to read this threaded comment; however, any edits to it will get removed if the file is opened in a newer version of Excel. Learn more: https://go.microsoft.com/fwlink/?linkid=870924
Comment:
    Includes  "Capital expenditures", "Care and Maintainance Costs" and "Exploration Costs" detailed in previous years</t>
      </text>
    </comment>
  </commentList>
</comments>
</file>

<file path=xl/sharedStrings.xml><?xml version="1.0" encoding="utf-8"?>
<sst xmlns="http://schemas.openxmlformats.org/spreadsheetml/2006/main" count="2985" uniqueCount="1323">
  <si>
    <t>About this document:</t>
  </si>
  <si>
    <t xml:space="preserve">Performance data tables have been grouped per material topics as established in our 2021 Sustainability Report. </t>
  </si>
  <si>
    <t xml:space="preserve">About the data </t>
  </si>
  <si>
    <t>Finding additional financial and non-financial information</t>
  </si>
  <si>
    <t>Providing feedback</t>
  </si>
  <si>
    <t>We welcome feedback on this report or any other aspect of our sustainability performance. Please send comments to calibre@calibremining.com.</t>
  </si>
  <si>
    <t>TAB / MATERIAL TOPIC</t>
  </si>
  <si>
    <t>TABLE / DISCLOSURE</t>
  </si>
  <si>
    <t>FRAMEWORK DISCLOSURE</t>
  </si>
  <si>
    <t>REPORT SECTION</t>
  </si>
  <si>
    <t>Overview</t>
  </si>
  <si>
    <t>N/A</t>
  </si>
  <si>
    <t>Entities included in the organization's sustainability reporting</t>
  </si>
  <si>
    <t>GRI 2-2</t>
  </si>
  <si>
    <t>SASB EM-MM-000.A</t>
  </si>
  <si>
    <t>1. Overview &gt; 1.4 Company Profile</t>
  </si>
  <si>
    <t>Memberships and associations</t>
  </si>
  <si>
    <t>GRI 2-28</t>
  </si>
  <si>
    <t>1. Overview &gt; 1.6 Commitments and Memberships</t>
  </si>
  <si>
    <t>Approach to stakeholder engagement</t>
  </si>
  <si>
    <t>GRI 2-29</t>
  </si>
  <si>
    <t>List of material topics</t>
  </si>
  <si>
    <t>GRI 3-2</t>
  </si>
  <si>
    <t>1. Overview &gt; 1.8 Understanding Our Impacts &gt; 1.8.2 Materiality Process and Results</t>
  </si>
  <si>
    <t>Corporate Governance and Business Ethics</t>
  </si>
  <si>
    <t>Governance structure and composition, diversity of governance bodies</t>
  </si>
  <si>
    <t>GRI 2-9, 405-1</t>
  </si>
  <si>
    <t>Mechanisms for seeking advise and raising concerns</t>
  </si>
  <si>
    <t>GRI 2-26</t>
  </si>
  <si>
    <t>Operations assessed for risk related to corruption</t>
  </si>
  <si>
    <t>GRI 205-1</t>
  </si>
  <si>
    <t>Communications and training on anti-corruption policies and procedures</t>
  </si>
  <si>
    <t>GRI 205-2</t>
  </si>
  <si>
    <t>Responsible Procurement</t>
  </si>
  <si>
    <t>New suppliers that were screened using environmental and social criteria</t>
  </si>
  <si>
    <t>GRI 308-1, 414-1</t>
  </si>
  <si>
    <t>Security Practices</t>
  </si>
  <si>
    <t>Security personnel trained in human rights policies or procedures</t>
  </si>
  <si>
    <t>GRI 410-1</t>
  </si>
  <si>
    <t>Environmental Management</t>
  </si>
  <si>
    <t>Water and Effluents</t>
  </si>
  <si>
    <t>Potential risks to water sources</t>
  </si>
  <si>
    <t>GRI 303-3</t>
  </si>
  <si>
    <t>GRI 303-4</t>
  </si>
  <si>
    <t>GRI 303-5</t>
  </si>
  <si>
    <t>Waste and Materials</t>
  </si>
  <si>
    <t>Waste generated</t>
  </si>
  <si>
    <t>Waste diverted from disposal</t>
  </si>
  <si>
    <t>Waste directed to disposal</t>
  </si>
  <si>
    <t>GRI 306-5</t>
  </si>
  <si>
    <t>Tailings storage facility inventory table</t>
  </si>
  <si>
    <t>Biodiversity</t>
  </si>
  <si>
    <t>Significant impacts of activities, products and services on biodiversity</t>
  </si>
  <si>
    <t>GRI 304-2</t>
  </si>
  <si>
    <t>Habitats protected or restored</t>
  </si>
  <si>
    <t>Amount of land owned or leased, and managed for production activities or extractive use, disturbed or rehabilitated</t>
  </si>
  <si>
    <t>GRI Mining and Metal Sector Disclosure MM1</t>
  </si>
  <si>
    <t>Number and percentage of total sites identified as requiring biodiversity management plans according to stated criteria, and number (and percentage) of those sites with plans in place</t>
  </si>
  <si>
    <t>GRI Mining and Metal Sector Disclosure MM2</t>
  </si>
  <si>
    <t>Number and percentage of operations with closure plans</t>
  </si>
  <si>
    <t>GRI Mining and Metal Sector Disclosure MM10</t>
  </si>
  <si>
    <t>Climate Change</t>
  </si>
  <si>
    <t>Energy intensity</t>
  </si>
  <si>
    <t>GRI 302-3</t>
  </si>
  <si>
    <t>Labour Rights</t>
  </si>
  <si>
    <t>Employees</t>
  </si>
  <si>
    <t>GRI 2-8</t>
  </si>
  <si>
    <t>New employee hires and employee turnover</t>
  </si>
  <si>
    <t>GRI 401-1</t>
  </si>
  <si>
    <t>Average hours of training per year per employee by gender</t>
  </si>
  <si>
    <t>GRI 401-4</t>
  </si>
  <si>
    <t>Percentage of employees per employee category in diversity categories</t>
  </si>
  <si>
    <t>GRI 405-1</t>
  </si>
  <si>
    <t>Ratio of basic salary and remuneration of women to men</t>
  </si>
  <si>
    <t>GRI 405-2</t>
  </si>
  <si>
    <t>Collective bargaining agreements</t>
  </si>
  <si>
    <t>Health and Safety</t>
  </si>
  <si>
    <t>Worker training on occupational health and safety</t>
  </si>
  <si>
    <t>Workers covered by an occupational health and safety management system</t>
  </si>
  <si>
    <t>GRI 403-8</t>
  </si>
  <si>
    <t>Employee data on work-related injuries</t>
  </si>
  <si>
    <t>Contractor data on work-related injuries</t>
  </si>
  <si>
    <t>GRI 403-10</t>
  </si>
  <si>
    <t>Rights of Communties and Indigenous Peoples</t>
  </si>
  <si>
    <t>Operations with local community engagement, impact assessments, and development programs</t>
  </si>
  <si>
    <t>GRI 413-1</t>
  </si>
  <si>
    <t>Operations with significant actual and potential negative impacts on local communities</t>
  </si>
  <si>
    <t>GRI 413-2</t>
  </si>
  <si>
    <t>Total number of operations taking place in or adjacent to Indigenous Peoples' territories, and number and percentage of operations or sites where there are formal agreements with Indigenous Peoples' communities</t>
  </si>
  <si>
    <t>Number and description of significant disputes relating to land use, customary rights of local communities and Indigenous Peoples</t>
  </si>
  <si>
    <t>Extent to which grievance mechanisms were used to resolve disputes relating to land use, customary rights of local communities and Indigenous Peoples, and the outcomes</t>
  </si>
  <si>
    <t>Land Acquisition and Resettlement</t>
  </si>
  <si>
    <t>Proportion of population living in households with access to basic services</t>
  </si>
  <si>
    <t>Proportion of urban population living in slums, informal settlements or inadequate housing</t>
  </si>
  <si>
    <t>Proportion of urban population using safely managed drinking water services</t>
  </si>
  <si>
    <t>Proportion of population using safely managed sanitation services</t>
  </si>
  <si>
    <t>Artisanal and Small-scale Mining</t>
  </si>
  <si>
    <t>Number (and percentage) of company operating sites where ASM takes place on, or adjacent to, the site; the associated risks and the actions taken to manage and mitigate these risks</t>
  </si>
  <si>
    <t>Proportion of bodies of water with good ambient water quality</t>
  </si>
  <si>
    <t>SDG 6.3.2</t>
  </si>
  <si>
    <t>Socio-Economic Contributions</t>
  </si>
  <si>
    <t>Direct economic value generated and distributed</t>
  </si>
  <si>
    <t>GRI 201-1</t>
  </si>
  <si>
    <t>Ratios of standard entry level wage by gender compared to local minimum wage</t>
  </si>
  <si>
    <t>GRI 202-1</t>
  </si>
  <si>
    <t>GRI 203-1</t>
  </si>
  <si>
    <t xml:space="preserve">Significant indirect economic impacts </t>
  </si>
  <si>
    <t>GRI 203-2</t>
  </si>
  <si>
    <t>Proportion of spending on local suppliers</t>
  </si>
  <si>
    <t>Learn more in Report sections:</t>
  </si>
  <si>
    <t xml:space="preserve">ENVIRONMENT </t>
  </si>
  <si>
    <t>(GRI  2-2)</t>
  </si>
  <si>
    <t>Location</t>
  </si>
  <si>
    <t>Limon Complex</t>
  </si>
  <si>
    <t>Libertad Complex</t>
  </si>
  <si>
    <t>(SASB EM-MM-000.A)</t>
  </si>
  <si>
    <t>(GRI 2-28)</t>
  </si>
  <si>
    <t>Mission / Objective</t>
  </si>
  <si>
    <t>World Gold Council (WGC)</t>
  </si>
  <si>
    <t>Nicaraguan Chamber of Mines (CAMINIC)</t>
  </si>
  <si>
    <t>CAMINIC is a civil, autonomous, and non-profit association established in 1995. It comprises 49 metallic, non-metallic, and cooperative partners in the business of extracting gold, silver, sand, limestone, tuff, crushed stone, and quarry stone.</t>
  </si>
  <si>
    <t>United Nations Guiding Principles on Business and Human Rights</t>
  </si>
  <si>
    <t>The United Nations Guiding Principles on Business and Human Rights (Guiding Principles) seek to provide an authoritative global standard for preventing and addressing the risk of adverse human rights impacts linked to business activity. Calibre’s Social Responsibility Policy and Human Rights Standard refers to the Guiding Principles as guidance.</t>
  </si>
  <si>
    <t>Voluntary Principles on Security and Human Rights</t>
  </si>
  <si>
    <t>The Voluntary Principles on Security and Human Rights (VPSHR) is a collaborative effort by governments, major multinational extractive companies, and NGOs to provide guidance to companies on how to conduct security operations while respecting human rights. Calibre’s Human Rights Standard refers to the Voluntary Principles as guidance.</t>
  </si>
  <si>
    <t xml:space="preserve">International Council on Mining &amp; Metals Mining Principles </t>
  </si>
  <si>
    <t>The International Council on Mining &amp; Metals (ICMM) Mining Principles define good practice environmental, social, and governance requirements for the mining and metals industry through a comprehensive set of performance expectations. Calibre’s Social Performance Standards align with ICMM’s Mining Principles expectations.</t>
  </si>
  <si>
    <t>International Finance Corporation Performance Standards</t>
  </si>
  <si>
    <t>The International Finance Corporation (IFC)’s Performance Standards on Environmental and Social Sustainability are an international benchmark for identifying and managing environmental and social risks. Calibre’s Social Performance Standards align with IFC’s requirements.</t>
  </si>
  <si>
    <t>International Cyanide Management Code</t>
  </si>
  <si>
    <t>The International Cyanide Management Code (Cyanide Code) is a voluntary certification program for companies that manufacture, transport, and use cyanide in the production of gold and silver, to help them improve their safe management of cyanide in order to limit the risks to human health and the environment. Our Cyanide Management Standard is aligned with the Cyanide Code.</t>
  </si>
  <si>
    <t>International Financial Reporting Foundation</t>
  </si>
  <si>
    <t>The International Financial Reporting Standards Foundation (IFRS Foundation) is a not-for-profit international organization responsible for developing a single set of high-quality global accounting standards, known as IFRS Standards. Calibre’s financial reports adhere to the IFRS Standards.</t>
  </si>
  <si>
    <t>United Nations Sustainable Development Goals</t>
  </si>
  <si>
    <t>The United Nations Sustainable Development Goals (SDGs) provide a framework for collective action to end poverty and other deprivations, tackle climate change, and preserve the environment. Our Sustainability Strategy’s goals and commitments are aligned to specific SDGs at target level.</t>
  </si>
  <si>
    <t>(GRI 2-29)</t>
  </si>
  <si>
    <t>Quarterly</t>
  </si>
  <si>
    <t>Annually</t>
  </si>
  <si>
    <t>Ongoing</t>
  </si>
  <si>
    <t>Direct engagement at corporate level, such as:
- Regulatory filings
- Responses to requests for information
- Site visits and inspections
- Meetings and personal communications</t>
  </si>
  <si>
    <t>Indigenous Peoples</t>
  </si>
  <si>
    <t>Media</t>
  </si>
  <si>
    <t>Suppliers and Contractors</t>
  </si>
  <si>
    <t>Direct and indirect engagement at corporate and site level, such as:
- Contract negotiations
- General terms and conditions for suppliers
- Policies and standards
- Participation in training programs
- Meetings and personal communications</t>
  </si>
  <si>
    <t>(GRI 3-2)</t>
  </si>
  <si>
    <t>(GRI Mining and Metals Sector Disclosure MM8)</t>
  </si>
  <si>
    <t>Site</t>
  </si>
  <si>
    <t>Actions Taken</t>
  </si>
  <si>
    <t>Yes</t>
  </si>
  <si>
    <t>Villanueva
Somotillo</t>
  </si>
  <si>
    <t>Periodic monitoring and reporting to relevant government authorities</t>
  </si>
  <si>
    <t>(SDG 6.3.2)</t>
  </si>
  <si>
    <t>Rosita</t>
  </si>
  <si>
    <t>Total</t>
  </si>
  <si>
    <t>(GRI 304-2)</t>
  </si>
  <si>
    <t>Duration</t>
  </si>
  <si>
    <t>Reversible?</t>
  </si>
  <si>
    <t>Habitat conversion</t>
  </si>
  <si>
    <t>Direct</t>
  </si>
  <si>
    <t>Reptiles and birds</t>
  </si>
  <si>
    <t>Medium term</t>
  </si>
  <si>
    <t>Construction of mine
Habitat conversion</t>
  </si>
  <si>
    <t>Mammals, reptiles and birds</t>
  </si>
  <si>
    <t> N/A</t>
  </si>
  <si>
    <t>(GRI 304-3)</t>
  </si>
  <si>
    <t>Santo Domingo, Chontales</t>
  </si>
  <si>
    <t>No</t>
  </si>
  <si>
    <t>Good conservation status</t>
  </si>
  <si>
    <t>Rancho Grande, Matagalpa</t>
  </si>
  <si>
    <t>(GRI Mining and Metals Sector Disclosure MM1)</t>
  </si>
  <si>
    <t>(GRI Mining and Metals Sector Disclosure MM2)</t>
  </si>
  <si>
    <t>Y</t>
  </si>
  <si>
    <t xml:space="preserve"> As per requirement of Calibre’s Biodiversity Standard:   If biodiversity management and protection was identified as a potential or actual environmental risk during original environmental impact or baseline studies or has since been identified as a risk during operations, then these sites shall develop, implement, communicate, adhere to and maintain a Biodiversity Management Plan </t>
  </si>
  <si>
    <t>(GRI Mining and Metals Sector Disclosure MM10)</t>
  </si>
  <si>
    <t>Site/Project</t>
  </si>
  <si>
    <t xml:space="preserve"> </t>
  </si>
  <si>
    <t>%</t>
  </si>
  <si>
    <t>Direct energy consumed by source</t>
  </si>
  <si>
    <t>Direct non-renewable</t>
  </si>
  <si>
    <t>Diesel</t>
  </si>
  <si>
    <t>Propane</t>
  </si>
  <si>
    <t>Heavy fuel oil</t>
  </si>
  <si>
    <t xml:space="preserve">Direct renewable </t>
  </si>
  <si>
    <t>Hydropower</t>
  </si>
  <si>
    <t>Wind</t>
  </si>
  <si>
    <t>Solar</t>
  </si>
  <si>
    <t>Biodiesel</t>
  </si>
  <si>
    <t>Total direct energy consumed</t>
  </si>
  <si>
    <t>Grid electricity from renewable sources</t>
  </si>
  <si>
    <t>Grid electricity from non-renewable sources</t>
  </si>
  <si>
    <t>Total indirect energy consumed</t>
  </si>
  <si>
    <t>Total Energy Consumed (direct and indirect)</t>
  </si>
  <si>
    <t>(GRI 302-3)</t>
  </si>
  <si>
    <t>Date</t>
  </si>
  <si>
    <t>Project</t>
  </si>
  <si>
    <t>Outcome</t>
  </si>
  <si>
    <t>(GRI 413-1)</t>
  </si>
  <si>
    <t>Yes. 2021.</t>
  </si>
  <si>
    <t>(GRI 413-2)</t>
  </si>
  <si>
    <t>Items</t>
  </si>
  <si>
    <t>Top significant actual and potential negative impacts on local communities</t>
  </si>
  <si>
    <t>(GRI Mining and Metal Sector Disclosure MM5)</t>
  </si>
  <si>
    <t>Adjacent (1) to Indigenous Territories?</t>
  </si>
  <si>
    <t>Description of agreements</t>
  </si>
  <si>
    <t>(GRI Mining and Metal Sector Disclosure MM6)</t>
  </si>
  <si>
    <t>Type of dispute</t>
  </si>
  <si>
    <t>Description / Nature</t>
  </si>
  <si>
    <t>Land use</t>
  </si>
  <si>
    <t>Land acquisition</t>
  </si>
  <si>
    <t>(GRI Mining and Metal Sector Disclosure MM7)</t>
  </si>
  <si>
    <t>Dispute Nature</t>
  </si>
  <si>
    <t>Use of Grievance Procedure?</t>
  </si>
  <si>
    <t>Status</t>
  </si>
  <si>
    <t>Participation of other relevant stakeholders to mediate the process.</t>
  </si>
  <si>
    <t>La Libertad</t>
  </si>
  <si>
    <t>Rancho Grande</t>
  </si>
  <si>
    <t>Santo Domingo</t>
  </si>
  <si>
    <t>(GRI 2-9, 405-1)</t>
  </si>
  <si>
    <t>Number of directors</t>
  </si>
  <si>
    <t>Number of independent members</t>
  </si>
  <si>
    <t>Number of women members</t>
  </si>
  <si>
    <t>Average tenure (years) of members</t>
  </si>
  <si>
    <t>8 years</t>
  </si>
  <si>
    <t>Code of conduct for directors</t>
  </si>
  <si>
    <t>Board oversight of sustainability</t>
  </si>
  <si>
    <t>% Board members under 30 years old</t>
  </si>
  <si>
    <t>% Board members 30-50 years old</t>
  </si>
  <si>
    <t>% Board members over 50 years old</t>
  </si>
  <si>
    <t># Black, Indigenous, Person of Colour (BIPOC)</t>
  </si>
  <si>
    <t>(GRI 2-26)</t>
  </si>
  <si>
    <t>Mechanism</t>
  </si>
  <si>
    <t>Responsibility</t>
  </si>
  <si>
    <t>Independent?</t>
  </si>
  <si>
    <t>Confidential?</t>
  </si>
  <si>
    <t>Anonymous?</t>
  </si>
  <si>
    <t>Non-retaliation ensured?</t>
  </si>
  <si>
    <t>Whistleblower hotline</t>
  </si>
  <si>
    <t>Audit Committee (Board)</t>
  </si>
  <si>
    <t>Periodic training and written acknowledgment request</t>
  </si>
  <si>
    <t>24/7</t>
  </si>
  <si>
    <t>English and Spanish</t>
  </si>
  <si>
    <t>Escalation processes through management levels</t>
  </si>
  <si>
    <t xml:space="preserve">Human Resources </t>
  </si>
  <si>
    <t>Townhalls</t>
  </si>
  <si>
    <t>Business hours</t>
  </si>
  <si>
    <t>Unions</t>
  </si>
  <si>
    <t>Spanish</t>
  </si>
  <si>
    <t xml:space="preserve">Community engagement </t>
  </si>
  <si>
    <t>Local communities, including contractors' local workforce</t>
  </si>
  <si>
    <t>(GRI 205-2)</t>
  </si>
  <si>
    <t>(SASB EM-MM-160A.1)</t>
  </si>
  <si>
    <t>Lifecycle stage</t>
  </si>
  <si>
    <t>Production</t>
  </si>
  <si>
    <t>Type of training</t>
  </si>
  <si>
    <t>Topics</t>
  </si>
  <si>
    <t>Frequency of Training</t>
  </si>
  <si>
    <t>Mandatory?</t>
  </si>
  <si>
    <t>Basic training</t>
  </si>
  <si>
    <t xml:space="preserve">General Inductions, HIRA, JSA, First Aid, Manual Handling, Five Point System, Solid Waste, Fire Prevention, Emergency, Biodiversity, COVID - 19 Protocols. </t>
  </si>
  <si>
    <t>At least annually</t>
  </si>
  <si>
    <t>Yes. To all employees and contractors' workers.</t>
  </si>
  <si>
    <t>General training</t>
  </si>
  <si>
    <t xml:space="preserve">LOTO, Hot Works, Working at Hight, Confined Space, HCNa, Amassing, Polishing and grinding, Oxy fuel cutting, Work Permits, Operation of light equipment, Hydrocarbon handling, Road education, Oxygen therapy, Use and handle of Ciano kit. </t>
  </si>
  <si>
    <t>Yes. To targeted audience according to area of work.</t>
  </si>
  <si>
    <t>Specific work-related hazards training</t>
  </si>
  <si>
    <t>Cyanide preparation, Use of Forklifts, Use of Boilers, Operation of Articulated Trucks, Use and Handling of Front Loaders, Hydro cyclones, Geomembrane Installation, Explosives</t>
  </si>
  <si>
    <t>Yes. To targeted audience according to job post specifications.</t>
  </si>
  <si>
    <t>(GRI 403-8)</t>
  </si>
  <si>
    <t xml:space="preserve"># Total Employees </t>
  </si>
  <si>
    <t>(GRI 403-9; EM-MM-320a.1, SDG 8.8.1)</t>
  </si>
  <si>
    <t>Main Types of Work-related Injury</t>
  </si>
  <si>
    <t>Pavon Mine</t>
  </si>
  <si>
    <t>(GRI 403-10)</t>
  </si>
  <si>
    <t>Main Types of Work-related Ill Health (1)</t>
  </si>
  <si>
    <t>N/D</t>
  </si>
  <si>
    <t>Woman</t>
  </si>
  <si>
    <t>Man</t>
  </si>
  <si>
    <t>Other (1)</t>
  </si>
  <si>
    <t>Not Disclosed</t>
  </si>
  <si>
    <t xml:space="preserve">Foreign </t>
  </si>
  <si>
    <t>(GRI 2-8)</t>
  </si>
  <si>
    <t>Women</t>
  </si>
  <si>
    <t>Men</t>
  </si>
  <si>
    <t>Foreign</t>
  </si>
  <si>
    <t>(GRI 401-1)</t>
  </si>
  <si>
    <t>New Hires</t>
  </si>
  <si>
    <t>By site</t>
  </si>
  <si>
    <t>By age group</t>
  </si>
  <si>
    <t>&lt;30</t>
  </si>
  <si>
    <t>30 to 50</t>
  </si>
  <si>
    <t>&gt;50</t>
  </si>
  <si>
    <t>By gender</t>
  </si>
  <si>
    <t>By region</t>
  </si>
  <si>
    <t>ND</t>
  </si>
  <si>
    <t>51+</t>
  </si>
  <si>
    <t>Turnover rate</t>
  </si>
  <si>
    <t>(GRI 401-4)</t>
  </si>
  <si>
    <t>(GRI 405-1)</t>
  </si>
  <si>
    <t>Vice-presidents</t>
  </si>
  <si>
    <t>Senior Management</t>
  </si>
  <si>
    <t>Management</t>
  </si>
  <si>
    <t>Superintendents and Heads of Areas</t>
  </si>
  <si>
    <t>Non-Management</t>
  </si>
  <si>
    <t>Superintendents and Heads of Area</t>
  </si>
  <si>
    <t>(GRI 405-2)</t>
  </si>
  <si>
    <t>(GRI 2-30, SASB EM-MM-310A.1)</t>
  </si>
  <si>
    <t>Communities resettled</t>
  </si>
  <si>
    <t>Cebadilla and Pozo 7</t>
  </si>
  <si>
    <t>Barrio Jabali</t>
  </si>
  <si>
    <t># individuals involved</t>
  </si>
  <si>
    <t>Consultation process conducted</t>
  </si>
  <si>
    <t>All families were involved in all stages of the resettlement from early stages of the project</t>
  </si>
  <si>
    <t>Measures in place to re-establish affected community and mitigate impacts of relocation</t>
  </si>
  <si>
    <t>Outcomes in terms of livelihoods, including land use</t>
  </si>
  <si>
    <t>Significant disputes related to resettlement</t>
  </si>
  <si>
    <t>No disputes arose during the process.</t>
  </si>
  <si>
    <t>Process employed to resolved outstanding issues</t>
  </si>
  <si>
    <t>No additional processes were required as no outstanding issues arose during the process</t>
  </si>
  <si>
    <t>(GRI 308-1, 414-1)</t>
  </si>
  <si>
    <t>(GRI 410-1)</t>
  </si>
  <si>
    <t>(GRI 201-1)</t>
  </si>
  <si>
    <t>(GRI 202-1)</t>
  </si>
  <si>
    <t>(GRI 203-1)</t>
  </si>
  <si>
    <t>In-kind</t>
  </si>
  <si>
    <t>(GRI 203-2)</t>
  </si>
  <si>
    <t>Stimulation of foreign direct investment</t>
  </si>
  <si>
    <t>Improved multi-dimensional poverty index in mining families</t>
  </si>
  <si>
    <t>Economic impacts from the use of national and local services</t>
  </si>
  <si>
    <t>(GRI 204-1, LPRM 302)</t>
  </si>
  <si>
    <t>(GRI 303-5)</t>
  </si>
  <si>
    <t>2020</t>
  </si>
  <si>
    <t>2021</t>
  </si>
  <si>
    <t>(GRI MM3; &amp; SASB EM-MM-150a.1; EM-MM-150a.2; EM-MM-150a.5; EM-MM-150a.6)</t>
  </si>
  <si>
    <t>Tailings</t>
  </si>
  <si>
    <t>Generated</t>
  </si>
  <si>
    <t>Diverted from disposal</t>
  </si>
  <si>
    <t>Directed to disposal</t>
  </si>
  <si>
    <t>% Recycled</t>
  </si>
  <si>
    <t xml:space="preserve">N/D </t>
  </si>
  <si>
    <t>Onsite</t>
  </si>
  <si>
    <t>Offsite</t>
  </si>
  <si>
    <t>Hazardous waste</t>
  </si>
  <si>
    <t>Preparation for reuse</t>
  </si>
  <si>
    <t>Recycling</t>
  </si>
  <si>
    <t>Other recovery operations</t>
  </si>
  <si>
    <t>Non-hazardous waste</t>
  </si>
  <si>
    <t>Waste prevented</t>
  </si>
  <si>
    <t>(GRI 306-5)</t>
  </si>
  <si>
    <t>2021 non-mineral waste directed to disposal, by disposal operation in metric tonnes (t)</t>
  </si>
  <si>
    <t>Incineration (with energy recovery)</t>
  </si>
  <si>
    <t>Incineration (without energy recovery)</t>
  </si>
  <si>
    <t>Landfilling</t>
  </si>
  <si>
    <t>Other disposal operations</t>
  </si>
  <si>
    <t>(a) Facility name</t>
  </si>
  <si>
    <t>(b) Location</t>
  </si>
  <si>
    <t>(d) Operational Status</t>
  </si>
  <si>
    <t>(l) Site-specific EPRP</t>
  </si>
  <si>
    <t>La Esperanza</t>
  </si>
  <si>
    <t>La Libertad, Chontales, Nicaragua</t>
  </si>
  <si>
    <t>Operator</t>
  </si>
  <si>
    <t>Active</t>
  </si>
  <si>
    <t>Downstream</t>
  </si>
  <si>
    <t>Low</t>
  </si>
  <si>
    <t xml:space="preserve">San Jose </t>
  </si>
  <si>
    <t>Mina El Limon, Larreynaga, Nicaragua</t>
  </si>
  <si>
    <t>Climate conditions (1)</t>
  </si>
  <si>
    <t>Water sources (2)</t>
  </si>
  <si>
    <t>Water stress</t>
  </si>
  <si>
    <t>Water quality</t>
  </si>
  <si>
    <t>Excess water</t>
  </si>
  <si>
    <t>Watershed challenges</t>
  </si>
  <si>
    <t>Libertad Mine &amp; Mill</t>
  </si>
  <si>
    <t>Moderate precipitation with a distinct dry season</t>
  </si>
  <si>
    <t>GW, SWW, MW</t>
  </si>
  <si>
    <t>Yes. Potential contamination from tailing slurries if TSF dam collapses.</t>
  </si>
  <si>
    <t>Limon Mine &amp; Mill</t>
  </si>
  <si>
    <t xml:space="preserve">Moderate precipitation </t>
  </si>
  <si>
    <t>(GRI 303-3)</t>
  </si>
  <si>
    <t>Water withdrawal (1) by source (ML)</t>
  </si>
  <si>
    <t>Surface water (total) (2)</t>
  </si>
  <si>
    <t>Freshwater (3)</t>
  </si>
  <si>
    <t>Other water</t>
  </si>
  <si>
    <t>Groundwater (total) (4)</t>
  </si>
  <si>
    <t>Freshwater</t>
  </si>
  <si>
    <t>Seawater (total) (5)</t>
  </si>
  <si>
    <t>Produced water (total) (6)</t>
  </si>
  <si>
    <t>Total third-party water (7)</t>
  </si>
  <si>
    <t>Surface water</t>
  </si>
  <si>
    <t xml:space="preserve">Groundwater  </t>
  </si>
  <si>
    <t xml:space="preserve">Seawater  </t>
  </si>
  <si>
    <t xml:space="preserve">Produced water  </t>
  </si>
  <si>
    <t>Total water withdrawn</t>
  </si>
  <si>
    <t>Surface water (total) + groundwater (total) + seawater (total) + produced water (total) + third-party water (total)</t>
  </si>
  <si>
    <t>(GRI 303-4)</t>
  </si>
  <si>
    <t>Water discharge (1) by destination</t>
  </si>
  <si>
    <t>Surface water (4)</t>
  </si>
  <si>
    <t>Groundwater (5)</t>
  </si>
  <si>
    <t>Seawater (6)</t>
  </si>
  <si>
    <t>Third-party water (7) (total)</t>
  </si>
  <si>
    <t>Third-party water sent for use to other organizations</t>
  </si>
  <si>
    <t>Water discharge by freshwater (2) and other water</t>
  </si>
  <si>
    <t>Water discharge by level of treatment (3)</t>
  </si>
  <si>
    <t>No treatment</t>
  </si>
  <si>
    <t>Primary treatment: Primary treatment, which aims to remove solid
substances that settle or float on the water surface</t>
  </si>
  <si>
    <t>Secondary treatment: aims to remove substances and materials that have remained in the water, or are dissolved or suspended in it</t>
  </si>
  <si>
    <t>Water consumption</t>
  </si>
  <si>
    <t>Total2</t>
  </si>
  <si>
    <t>Total water consumption (1)</t>
  </si>
  <si>
    <t>Change in water storage (2), if water storage has been identified as having a significant water-related impact</t>
  </si>
  <si>
    <t>Total water recycled (3)</t>
  </si>
  <si>
    <t>Total water used (4)
(consumed plus recycled)</t>
  </si>
  <si>
    <t>Percent recycled
(water recycled divided by water used)</t>
  </si>
  <si>
    <t/>
  </si>
  <si>
    <t>2022 Targets</t>
  </si>
  <si>
    <t>2022 Results</t>
  </si>
  <si>
    <t>2022 Performance</t>
  </si>
  <si>
    <t>SOCIAL</t>
  </si>
  <si>
    <t>GOVERNACE</t>
  </si>
  <si>
    <t>Environmental Management System reviewed and updated</t>
  </si>
  <si>
    <t>Inventory of local water and forest related issues prepared and participatory pilot projects developed</t>
  </si>
  <si>
    <t>GHG inventories and water footprints identified for all Calibre Sites</t>
  </si>
  <si>
    <t>Energy and Climate Change Strategies designed</t>
  </si>
  <si>
    <t>Management plans developed for Calibre's wildlife refuges</t>
  </si>
  <si>
    <t>Engagement, disclosure and grievance mechanisms updated</t>
  </si>
  <si>
    <t>Strategic stakeholder engagement plan developed and documented</t>
  </si>
  <si>
    <t>Participatory community development model created and pilot projects initiated at EBP</t>
  </si>
  <si>
    <t>EBP Local Content Plan (local employment and procurement) designed</t>
  </si>
  <si>
    <t>Corporate human rights risk assessment conducted.</t>
  </si>
  <si>
    <t>Situational assessment conducted on diversity and inclusion</t>
  </si>
  <si>
    <t>Free, prior and informed consent processes documented for all projects located in indigenous territories</t>
  </si>
  <si>
    <t>Dialogue on institutional strengthening and development planning initiated with local governments and institutions in areas of influence</t>
  </si>
  <si>
    <t>Corruption Risk Mitigation Plan designed</t>
  </si>
  <si>
    <t>2. Environment &gt; 2.1 Environmental Management</t>
  </si>
  <si>
    <t>2. Environment &gt; 2.4 Biodiversity</t>
  </si>
  <si>
    <t>2. Environment &gt; 2.5 Climate Change</t>
  </si>
  <si>
    <t>3. Social &gt; 3.2 Health and Safety</t>
  </si>
  <si>
    <t>3. Social &gt; 3.3 Rights of Communities and Indigenous Peoples</t>
  </si>
  <si>
    <t>3. Social &gt; 3.4 Land Acquisition and Resettlement</t>
  </si>
  <si>
    <t>3. Social &gt; 3.6 Socio-Economic Contributions</t>
  </si>
  <si>
    <t>3. Social &gt; 3.5 Artisanal and Small-Scale Mining</t>
  </si>
  <si>
    <t>3. Social &gt; 3.1 Labour Rights</t>
  </si>
  <si>
    <t>Ensure environmental and regulatory compliance at all operations</t>
  </si>
  <si>
    <t xml:space="preserve">- Five-year environmental strategy designed, approved and under implementation. 
- Site-level environmental management plans designed and under implementation. All environmental quality monitoring was carried out, including air quality, water quality and biodiversity at all projects executed. </t>
  </si>
  <si>
    <t>- Established an Environmental Manager position to oversee all Nicaraguan operations and review and update our environmental management system.
- Environmental legal compliance monitoring system under construction.</t>
  </si>
  <si>
    <t>Underway</t>
  </si>
  <si>
    <t>- GHG inventories completed for all Nicaraguan assets.
- Water footprint calculation delayed as focus was put on GHG emissions reduction/offsetting.</t>
  </si>
  <si>
    <t xml:space="preserve">-Assessment completed to identify feasible areas for development, potential partners, and design pilot project(s) to address key local watershed and forest issues. </t>
  </si>
  <si>
    <t>- Design of management plans delayed. Focus was put on environmental compliance and leadership staff training on national environmental legislation.</t>
  </si>
  <si>
    <t>- Zero fatalities
- 10% reduction from 2021 in Lost Time Incident Frequency Rate (LTIFR 0.46)
- 25% reduction from 2021 in Total Recordable Incident Frequency Rate (TRIFR 1.56)
- 10% reduction from 2021 in Injury Severity Rate (ISR 16.72)</t>
  </si>
  <si>
    <t>- ASM model implemented, conflicts avoided and production secured
- Limits protection system established</t>
  </si>
  <si>
    <t>- Land acquisition standard developed and under implementation
- Five year land access requirements defined based on LOM planning
- Resettlement / Land Acquisition / ASM Relocation Plans developed</t>
  </si>
  <si>
    <t>- ASM model under implementation. Currently under review against law modifications regarding ASM protection and regulation.
- Working teams were established in each critical site (La Libertad, Limon, Pavon) to review protection system draft, aligned to VPSHRs principles.</t>
  </si>
  <si>
    <t>- Resettlement and Land Acquisition Standard updated, guideline completed and approved.
- Plans for Cebadilla (Limon) and Jabali (Libertad) resettlement projects completed. 
- Definition of land access requirements underway.</t>
  </si>
  <si>
    <t>- Local 5-year development plan for 4 communities within the area of influence of our EBP project completed, with participation of +280 stakeholders, including community members, local authorities and other relevant local stakeholders.</t>
  </si>
  <si>
    <t>Local content plan completed, achieving procurement opportunities for 13 local businesses and employment for ~200 local workers during initial stages of our EBP facilities construction.</t>
  </si>
  <si>
    <t>Ethics and compliance policy and system in place</t>
  </si>
  <si>
    <t>- Independent Human Rights Impact Assessment conducted to our operations and most salient business partners in Nicaragua, resulting in no significant findings.</t>
  </si>
  <si>
    <t>- Diversity and Inclusion Committee and Taskforce created, and site-level assessments completed.</t>
  </si>
  <si>
    <t>- Corporate and site level engagement plans designed and implemented.</t>
  </si>
  <si>
    <t xml:space="preserve">- Legal Risk Register &amp; Reporting Tracker to capture legal risks, track issues and issue regular progress by entity created and under implementation
</t>
  </si>
  <si>
    <t>- Corruption Risk Mitigation Plan designed and approved</t>
  </si>
  <si>
    <t>El Limon Complex</t>
  </si>
  <si>
    <t>Limon Mill
Limon Central OP Mine
Santa Pancha UG Mine
Panteon UG Mine
Veta Nueva UG Mine</t>
  </si>
  <si>
    <t>Larreynaga, Nicaragua</t>
  </si>
  <si>
    <t>La Libertad Complex</t>
  </si>
  <si>
    <t>Libertad Mill
Jabali UG
Pavon Norte OP Mine
Eastern Borosi Development Project (EBP)</t>
  </si>
  <si>
    <t>Chontales, Nicaragua
Chontales, Nicaragua
Matagalpa, Nicaragua
Rosita, Nicaragua
Siuna, Nicaragua</t>
  </si>
  <si>
    <t>(Legacy Fiore Gold) Pan Mine</t>
  </si>
  <si>
    <t xml:space="preserve">Pan HL Mine
Gold Rock Development Project
</t>
  </si>
  <si>
    <t>Nevada, USA
Nevada, USA
Washington, USA
Nevada, USA</t>
  </si>
  <si>
    <t>Production of metal ores FY2022</t>
  </si>
  <si>
    <t>Company</t>
  </si>
  <si>
    <t>Pan Mine</t>
  </si>
  <si>
    <t>Ore milled (t) /Ore placed on leach pad</t>
  </si>
  <si>
    <t>Gold ounces produced</t>
  </si>
  <si>
    <t>Artisanal Miners</t>
  </si>
  <si>
    <t>- Right to prior, informed consultation for new projects.
- To inform, identify, assess, and manage actual and potential risks, opportunities and impacts, such as: mining law, environmental stewardship, occupational H&amp;S, land access and relocation, security threats, child labour, ore purchase, etc.</t>
  </si>
  <si>
    <t>Direct and indirect engagement at site level, such as:
- Public consultations, environmental and social impact assessments
- Community grievance mechanism
- ASM territorial commissions
- Face-to-face meetings
- Training programs
- Newspapers, radio, TV, newsletters</t>
  </si>
  <si>
    <t>CSOs, NGOs and the Academia</t>
  </si>
  <si>
    <t>- To conduct research, establish partnerships, request advice, listen and/or provide with relevant information</t>
  </si>
  <si>
    <t>Direct engagement at corporate and site level</t>
  </si>
  <si>
    <t>Monthly</t>
  </si>
  <si>
    <t>- Right to form or join unions &amp; bargain collectively
- To identify, assess and manage actual and potential impacts on issues such as H&amp;S, collective agreements, remuneration and incentives, operational performance &amp; responsible business practices</t>
  </si>
  <si>
    <t>- To report, consult or collaborate on issues such as regulatory and legal compliance, government regulation and permitting, taxes and royalties, employment, infrastructure and contribution to socioeconomic development priorities, environmental stewardship, and enforcement of the rule of law</t>
  </si>
  <si>
    <t>- Right to free, prior, informed consultation for new concessions</t>
  </si>
  <si>
    <t>Direct and indirect engagement at site level, using local language, including:
- Public consultations, environmental and social impact assessments
- Experience exchange workshops with territorial representatives
- Face-to-face meetings
- Site visits</t>
  </si>
  <si>
    <t xml:space="preserve">Direct and indirect engagement at corporate level, such as:
- Press releases
- Interviews, presentations and publications
- Regulatory filings
- Website and social media channels, communication via email/telephone </t>
  </si>
  <si>
    <t>Direct and indirect engagement at corporate level, such as:
- Annual General Meeting &amp; conference calls
- Annual and quarterly reports
- Regulatory filings
- Press releases and TSX regulatory documents
- Website and social media channels, email/telephone inquiries</t>
  </si>
  <si>
    <t>- To inform, monitor and review issues such as contract terms and conditions, responsible practices, workers rights and working conditions, business opportunities and local content.</t>
  </si>
  <si>
    <t>Annual VPSHR's training program</t>
  </si>
  <si>
    <t>ENVIRONMENT: Managing our environmental footprint to safeguard the planet</t>
  </si>
  <si>
    <t>A. Environmental management and compliance
A. Water and Effluents (Water quality and use, Discharges)
A. Waste and Materials (Waste management, Hazardous and non-hazardous materials including cyanide and tailings)
A. Biodiversity (Biodiversity management, Forest stewardship, Mine closure &amp; rehabilitation)
A. Climate change (Energy use , Greenhouse gas emissions)</t>
  </si>
  <si>
    <t>SOCIAL: Growing together to create shared value</t>
  </si>
  <si>
    <t>GOVERNANCE: Conducting an ethical business to foster human rights</t>
  </si>
  <si>
    <t>Purpose</t>
  </si>
  <si>
    <t>Type of misconduct reported</t>
  </si>
  <si>
    <t>Process of investigation</t>
  </si>
  <si>
    <t>Report fraudulent, unethical, or illegal activity or behaviour related to financial matters</t>
  </si>
  <si>
    <t xml:space="preserve">Inappropriate contracting procedures, concern over our hiring processes, allegation of bribery </t>
  </si>
  <si>
    <t xml:space="preserve">Human Capital department investigates and reports findings back to the Audit Committee of the Board of Directors </t>
  </si>
  <si>
    <t>Ensure an open-door policy for permanent worker engagement</t>
  </si>
  <si>
    <t>Site-level employee grievance support mechanisms</t>
  </si>
  <si>
    <t>If an employee has a reason for complaint and only after the area manager has not given a solution or a satisfactory response, the employee has the right to request Union support to raise the issue.</t>
  </si>
  <si>
    <t>Employees of Nicaraguan assets</t>
  </si>
  <si>
    <t>Site level worker grievance policy and procedure</t>
  </si>
  <si>
    <t>File complaints that are covered by the provisions of labor laws, Corporate Policies, Internal Labor Regulations, as well as the policies and procedures established by the company. The mechanism is open to all contractor workers that does not have access to other remediation mechanisms.</t>
  </si>
  <si>
    <t>Human Resources</t>
  </si>
  <si>
    <t>Trainings, information boards, bulletins</t>
  </si>
  <si>
    <t>Employees &amp; contractors’ workforce of Nicaraguan assets</t>
  </si>
  <si>
    <t>Worker grievances related to disrespectful treatment of employee (75%), defamation (17%) and non-compliance with policies (8%).</t>
  </si>
  <si>
    <t>Investigation includes interviews with complainant, evidence review when available, and requesting the assessment of an external consultant when deemed necessary. Corrective measures were taken for each of the complaints filed, including individual meetings, reprimands or even dismissals, depending on the seriousness of the case.</t>
  </si>
  <si>
    <t>Establish the policy and procedure that will be carried out in cases of harassment complaints that occur in all sites, establishments and companies belonging to Calibre in Nicaragua.</t>
  </si>
  <si>
    <t>24/7?</t>
  </si>
  <si>
    <t>N/A, procedure launched in Q4, full implementation expected by 2023.</t>
  </si>
  <si>
    <t>Site-level community grievance mechanism</t>
  </si>
  <si>
    <t>Provide a fair, accessible, effective and timely mechanism through which all types of human rights complaints and grievances related to our activities can be raised by host communities and provide remedy where needed. The mechanism is open to all local contractor workers that does not have access to other remediation mechanisms.</t>
  </si>
  <si>
    <t>Community Relations</t>
  </si>
  <si>
    <t>Investigation conducted by area allegedly responsible for the complaint, Community Relations and other areas deemed relevant according to the nature of the complaint, in permanent engagement with complainant. Investigation report produced, including proposal for resolution, for management and compliant approval.</t>
  </si>
  <si>
    <t>The U.S. Department of Labor's Mine Safety and Health Administration (MSHA) works to prevent death, illness, and injury from mining and promote safe and healthful workplaces for U.S. miners.</t>
  </si>
  <si>
    <t>US Dept. Labor</t>
  </si>
  <si>
    <t>Training</t>
  </si>
  <si>
    <t>Employees of U.S assets</t>
  </si>
  <si>
    <t>English</t>
  </si>
  <si>
    <t>Two employee related disputes, one MSHA safety dispute, and 1 environmental dispute (dust complaint).</t>
  </si>
  <si>
    <t xml:space="preserve">The WGC is the market development organisation for the gold industry. Our purpose is to stimulate and sustain demand for gold, provide industry leadership, and be the global authority on the gold market. </t>
  </si>
  <si>
    <t>August 2020</t>
  </si>
  <si>
    <t>The Nevada Mining Association has existed for more than 100 years-first established in 1913 as the Nevada Mine Operators Association and changed to the Nevada Mining Association in 1952. From debating policy matters in the state legislature and local governments to uniting the voice of the industry in public relations, the Nevada Mining Association can be seen in all corners of the state.</t>
  </si>
  <si>
    <t>October 2022</t>
  </si>
  <si>
    <t>Nevada Mining Association (NVMA)</t>
  </si>
  <si>
    <t>As member of the WGC, we share a unified vision of ensuring a sustainable gold mining industry, based on a deep understanding of gold's role in society, now and in the future. We have adhered to its Responsible Gold Mining Principles (RGMPs), a framework that set out clear expectations for consumers, investors and the downstream gold supply chain as to what constitutes responsible gold mining. Since 2021, we published annual, externally-assured Progress Reports , and are well underway to achieve full conformance within the three year timeframe set by the Council.</t>
  </si>
  <si>
    <t>Governance Bodies</t>
  </si>
  <si>
    <t>Members (#)</t>
  </si>
  <si>
    <t>Governance body members that anti-corruption policies and procedures have been communicated to FY2022 (#)</t>
  </si>
  <si>
    <t>Governance body members that anti-corruption policies and procedures have been communicated to (%)</t>
  </si>
  <si>
    <t>Governance body members that have received training on anti-corruption FY2022 (#)</t>
  </si>
  <si>
    <t>Governance body members that have received training on anti-corruption (%)</t>
  </si>
  <si>
    <t>BoD</t>
  </si>
  <si>
    <t>Employee Category</t>
  </si>
  <si>
    <t>Employees (#)</t>
  </si>
  <si>
    <t>Employees that anti-corruption policies and procedures have been communicated to FY2022 (#)</t>
  </si>
  <si>
    <t>Employees that anti-corruption policies and procedures have been communicated to FY2022 (%)</t>
  </si>
  <si>
    <t>Employees that have received training on anti-corruption FY2022 (#)</t>
  </si>
  <si>
    <t>Employees that have received training on anti-corruption FY2022 (%)</t>
  </si>
  <si>
    <t>Vice-Presidents</t>
  </si>
  <si>
    <t>Superintendents &amp; heads of unit</t>
  </si>
  <si>
    <t>Nicaragua</t>
  </si>
  <si>
    <t>United States</t>
  </si>
  <si>
    <t>Country</t>
  </si>
  <si>
    <t>2022</t>
  </si>
  <si>
    <t>Board members that anti-corruption policies and procedures have been communicated to (%)</t>
  </si>
  <si>
    <t>Board members that have received training on anti-corruption (%)</t>
  </si>
  <si>
    <t>Executive Team members that anti-corruption policies and procedures have been communicated to (%)</t>
  </si>
  <si>
    <t>Executive Team members that have received training on anti-corruption (%)</t>
  </si>
  <si>
    <t>Employees that anti-corruption policies and procedures have been communicated to (%)</t>
  </si>
  <si>
    <t>Employees that have received training on anti-corruption (%)</t>
  </si>
  <si>
    <t>Business partners that anti-corruption policies and procedures have been communicated to (%)</t>
  </si>
  <si>
    <t xml:space="preserve">Type </t>
  </si>
  <si>
    <t>Active business partners that anti-corruption policies and procedures have been communicated to FY2022 (#)</t>
  </si>
  <si>
    <t>Suppliers for Nicaraguan assets</t>
  </si>
  <si>
    <t>Suppliers for United States assets</t>
  </si>
  <si>
    <t>Suppliers for Canada - Corp. Offices</t>
  </si>
  <si>
    <t>Security personnel at site FY2022 (#) (1)</t>
  </si>
  <si>
    <t>Security personnel trained (% )</t>
  </si>
  <si>
    <t xml:space="preserve">Topics </t>
  </si>
  <si>
    <t>VPSHR</t>
  </si>
  <si>
    <t>Security personnel who have received formal training (#)(2)</t>
  </si>
  <si>
    <t>Canada</t>
  </si>
  <si>
    <t>(GRI 305-2)</t>
  </si>
  <si>
    <t>Scope 1</t>
  </si>
  <si>
    <t>FY2021</t>
  </si>
  <si>
    <t>FY2022</t>
  </si>
  <si>
    <t xml:space="preserve"> Waste generation, noise impacts, emissions to air, discharges to water, natural resource consumption, and hazardous chemical usage, biodiversity impacts, environmental monitoring </t>
  </si>
  <si>
    <t>Projects FY2022</t>
  </si>
  <si>
    <t>No(3)</t>
  </si>
  <si>
    <t>Cold semi-arid</t>
  </si>
  <si>
    <t xml:space="preserve">GW </t>
  </si>
  <si>
    <t>Good</t>
  </si>
  <si>
    <t>(GRI 303-1)</t>
  </si>
  <si>
    <t>Total water discharge (Surface water + groundwater + seawater + third-party water)</t>
  </si>
  <si>
    <t>Water balance (ML)</t>
  </si>
  <si>
    <t>Water withdrawn</t>
  </si>
  <si>
    <t>Groundwater</t>
  </si>
  <si>
    <t>Third-party water</t>
  </si>
  <si>
    <t>Water discharged</t>
  </si>
  <si>
    <t>Water consumed</t>
  </si>
  <si>
    <t>Water used (consumed + recycled)</t>
  </si>
  <si>
    <t>(GRI 303-3, 303-4, 303-5, SASB EM-MM-140a.1)</t>
  </si>
  <si>
    <t>Ongoing exploitation projects FY2022</t>
  </si>
  <si>
    <t>Does its exploitation projects have a closure plan?</t>
  </si>
  <si>
    <t>Provision for closure?</t>
  </si>
  <si>
    <t>If yes, refer to financial statement</t>
  </si>
  <si>
    <t>El Limon Mill
Limon Central OP Mine
Santa Pancha UG Mine
Veta Nueva UG Mine</t>
  </si>
  <si>
    <t>ARO and Reclamation budget for 2023. Refer to our latest Annual Information Form "Capital and Operating Costs" for amounts on closure/reclamation capital [link: https://www.calibremining.com/investors/financials-reports/]</t>
  </si>
  <si>
    <t>La Libertad Mill
Jabali UG Mine
Pavon Norte OP Mine
Jabali Antena</t>
  </si>
  <si>
    <t>Pan Gold Mine</t>
  </si>
  <si>
    <t>Refer to our latest Annual Information Form "Capital and Operating Costs" for amounts on closure/reclamation capital [link: https://www.calibremining.com/investors/financials-reports/]</t>
  </si>
  <si>
    <t>(GRI 304-4)</t>
  </si>
  <si>
    <t>Species</t>
  </si>
  <si>
    <t>Critically endangered</t>
  </si>
  <si>
    <t>Endangered</t>
  </si>
  <si>
    <t>Vulnerable</t>
  </si>
  <si>
    <t>Near threatened</t>
  </si>
  <si>
    <t>Least concern</t>
  </si>
  <si>
    <t>National conservation lists</t>
  </si>
  <si>
    <t>Land disturbed and not yet rehabilitated at beginning of reporting period (A: opening balance) (Km2)</t>
  </si>
  <si>
    <t>Amount of land newly disturbed within the reporting period (B) (Km2)</t>
  </si>
  <si>
    <t>Total land disturbed and not yet rehabilitated (D= A+B-C; closing balance) (Km2)</t>
  </si>
  <si>
    <t>(GRI 305-4)</t>
  </si>
  <si>
    <t>(GRI 305-5)</t>
  </si>
  <si>
    <t>Reduction of GHG emissions FY2022</t>
  </si>
  <si>
    <t>Description of reduction initiative</t>
  </si>
  <si>
    <t>Purchase of 100% clean energy for Limon and Libertad</t>
  </si>
  <si>
    <t>GHG emissions reduced (CO2e tons)</t>
  </si>
  <si>
    <t>Scope 2</t>
  </si>
  <si>
    <t>Scope 3</t>
  </si>
  <si>
    <t>Gases included in calculation</t>
  </si>
  <si>
    <t>GH4, CO2, N2O</t>
  </si>
  <si>
    <t>Base year/ Baseline</t>
  </si>
  <si>
    <t>2020 / 52,097.43 CO2e tons Scope 1 emissions</t>
  </si>
  <si>
    <t>2020 / 23,322.31 CO2e tons Scope 2 emissions</t>
  </si>
  <si>
    <t>NICARAGUA</t>
  </si>
  <si>
    <t>UNITED STATES</t>
  </si>
  <si>
    <t>CANADA - CORPORATE</t>
  </si>
  <si>
    <t>Employees by Region at Year End 2022</t>
  </si>
  <si>
    <t>COMPANY</t>
  </si>
  <si>
    <t>Employees by Gender at Year End 2022</t>
  </si>
  <si>
    <t>Employees by Category at Year End 2022</t>
  </si>
  <si>
    <t>Non-management</t>
  </si>
  <si>
    <t>Employees by Age Group at Year End 2022</t>
  </si>
  <si>
    <t>30 t 50</t>
  </si>
  <si>
    <t>Contractors by country FY2022 (#)</t>
  </si>
  <si>
    <t>Contractors by country FY 2020-2022</t>
  </si>
  <si>
    <t>New employee hires for year end 2022</t>
  </si>
  <si>
    <t>New employee hires (#)</t>
  </si>
  <si>
    <t>New employee hires (%)</t>
  </si>
  <si>
    <t>Employee turnover (#)</t>
  </si>
  <si>
    <t>Employee turnover (%)</t>
  </si>
  <si>
    <t>Age group</t>
  </si>
  <si>
    <t>New hires &lt;30 (#)</t>
  </si>
  <si>
    <t>New hires &lt;30 (%)</t>
  </si>
  <si>
    <t>Employees &lt;30 turnover (#)</t>
  </si>
  <si>
    <t>Employees &lt;30 turnover (of all employees) (%)</t>
  </si>
  <si>
    <t>New hires 30-50 (#)</t>
  </si>
  <si>
    <t>New hires 30-50 (%)</t>
  </si>
  <si>
    <t>Employees 30-50 turnover (#)</t>
  </si>
  <si>
    <t>Employees 30-50 turnover (of all employees) (%)</t>
  </si>
  <si>
    <t>New hires 50+ (#)</t>
  </si>
  <si>
    <t>New hires 50+ (%)</t>
  </si>
  <si>
    <t>Employees 50+ turnover (#)</t>
  </si>
  <si>
    <t>Employees 50+ turnover (of all employees) (%)</t>
  </si>
  <si>
    <t>Gender</t>
  </si>
  <si>
    <t>New man hires (#)</t>
  </si>
  <si>
    <t>New man hires (%)</t>
  </si>
  <si>
    <t>Man turnover (#)</t>
  </si>
  <si>
    <t>Man turnover (of all employees) (%)</t>
  </si>
  <si>
    <t>New woman hires (#)</t>
  </si>
  <si>
    <t>New woman hires (%)</t>
  </si>
  <si>
    <t>Woman turnover (#)</t>
  </si>
  <si>
    <t>Woman turnover (of all employees) (%)</t>
  </si>
  <si>
    <t>Region</t>
  </si>
  <si>
    <t>New foreign hires (#)</t>
  </si>
  <si>
    <t>New foreign hires (%)</t>
  </si>
  <si>
    <t>Total foreign turnover (#)</t>
  </si>
  <si>
    <t>Total foreign turnover (of all employees) (%)</t>
  </si>
  <si>
    <t>% New employee population</t>
  </si>
  <si>
    <t>Turnover</t>
  </si>
  <si>
    <t>Turnover (#)</t>
  </si>
  <si>
    <t>Average hours of training FY2022</t>
  </si>
  <si>
    <t>Average training hours per employee</t>
  </si>
  <si>
    <t>Total training hours provided (#)</t>
  </si>
  <si>
    <t>Average training hours per employee2</t>
  </si>
  <si>
    <t>Employees (#)3</t>
  </si>
  <si>
    <t>Total training hours provided (#)4</t>
  </si>
  <si>
    <t>Average training hours per employee5</t>
  </si>
  <si>
    <t>Employees (#)6</t>
  </si>
  <si>
    <t>Total training hours provided (#)7</t>
  </si>
  <si>
    <t>By Gender</t>
  </si>
  <si>
    <t xml:space="preserve">Man </t>
  </si>
  <si>
    <t>Average hours of training FY2021-2022</t>
  </si>
  <si>
    <t>Men (#)</t>
  </si>
  <si>
    <t>Women (#)</t>
  </si>
  <si>
    <t>Canada - Corporate</t>
  </si>
  <si>
    <t>% Employees per Gender, Per Category, FY2020-2022</t>
  </si>
  <si>
    <t>% Men</t>
  </si>
  <si>
    <t>% Women</t>
  </si>
  <si>
    <t>&lt; 30 (#)</t>
  </si>
  <si>
    <t>30 to 50 (#)</t>
  </si>
  <si>
    <t>51+ (#)</t>
  </si>
  <si>
    <t>Total number of employees</t>
  </si>
  <si>
    <t>% Employees per Age Group, Per Category, FY2020-2022</t>
  </si>
  <si>
    <t>% &lt;30</t>
  </si>
  <si>
    <t>% 30 to 50</t>
  </si>
  <si>
    <t>% 51+</t>
  </si>
  <si>
    <t>% &gt;30</t>
  </si>
  <si>
    <t>Ratio of basic salary and remuneration of women to men (%)</t>
  </si>
  <si>
    <t>Corporate offices</t>
  </si>
  <si>
    <t>Senior Management (1)</t>
  </si>
  <si>
    <t>Vice-Presidents (1)</t>
  </si>
  <si>
    <t>Board (1)</t>
  </si>
  <si>
    <t>Executive Leadership Team (1)</t>
  </si>
  <si>
    <t>Total # employees by Year End 2022</t>
  </si>
  <si>
    <t># Employees covered by collective agreements</t>
  </si>
  <si>
    <t>People trained FY2022 (#)</t>
  </si>
  <si>
    <t>People trained FY2021 (#)</t>
  </si>
  <si>
    <t>People trained FY2020 (#)</t>
  </si>
  <si>
    <t>All</t>
  </si>
  <si>
    <t>All described below</t>
  </si>
  <si>
    <t>Yes. Mandatory to all employees and contractors.</t>
  </si>
  <si>
    <t>Workers covered by an occupational H&amp;S management system FY2022</t>
  </si>
  <si>
    <t># Total Workers (contractors):</t>
  </si>
  <si>
    <t># Total Workforce (employees + contractors):</t>
  </si>
  <si>
    <t>Fatalities (#)</t>
  </si>
  <si>
    <t>Fatalities (Rate)</t>
  </si>
  <si>
    <t>High-consequence Work-related Injuries (#)</t>
  </si>
  <si>
    <t>High-consequence Work-related Injuries (Rate)(1)</t>
  </si>
  <si>
    <t>Recordable Work-related Injuries (#)</t>
  </si>
  <si>
    <t>Recordable Work-related Injuries (Rate)(2)</t>
  </si>
  <si>
    <t>High-potential Work-related Incidents Identified (#)</t>
  </si>
  <si>
    <t>Close Calls Identified (#)</t>
  </si>
  <si>
    <t>Near miss frequency rate (NMFR) (3)</t>
  </si>
  <si>
    <t>Hours Worked (#)</t>
  </si>
  <si>
    <t>Medical Treatment Injury (MTI)</t>
  </si>
  <si>
    <t>Laceration</t>
  </si>
  <si>
    <t>Sprain/strain</t>
  </si>
  <si>
    <t>Main work-related hazards that pose a risk of high-consequence injury</t>
  </si>
  <si>
    <t xml:space="preserve">Hazards that have caused or contributed to high-consequence injuries FY2022
</t>
  </si>
  <si>
    <t>Actions taken or underway to eliminate these or other work-related hazards and minimize risks using the hierarchy of controls</t>
  </si>
  <si>
    <t>Ore transport</t>
  </si>
  <si>
    <t>Near miss investigation, safety interactions, risk identification workshops, hazard hunters program, Time Out for Safety, audits and inspections.</t>
  </si>
  <si>
    <t>Non - Compliance</t>
  </si>
  <si>
    <t>Equipment/light vehicle operation, low frequency tasks</t>
  </si>
  <si>
    <t xml:space="preserve">Risk Analysis, JHA </t>
  </si>
  <si>
    <t>None</t>
  </si>
  <si>
    <t>Risk analysis, continuous improvement</t>
  </si>
  <si>
    <t>Fatalities as a result of work-related ill health (#)</t>
  </si>
  <si>
    <t>Cases of Recordable Work-related Ill Health (#)</t>
  </si>
  <si>
    <t>Work-related hazards that pose a risk of ill health</t>
  </si>
  <si>
    <t>How these hazards have been determined</t>
  </si>
  <si>
    <t>Hazards that have caused or contributed to cases of ill health</t>
  </si>
  <si>
    <t>Actions taken or underway to eliminate or minimize these using hierarchy of controls</t>
  </si>
  <si>
    <t>Substitution, engineering, administrative, PPE</t>
  </si>
  <si>
    <t>Cases of recordable work-related ill health(#)</t>
  </si>
  <si>
    <t>October 1995</t>
  </si>
  <si>
    <t>Non-mineral waste diverted from disposal by recovery(2) operation in metric tonnes (t) FY2021-2022</t>
  </si>
  <si>
    <t>Onsite2</t>
  </si>
  <si>
    <t>Offsite3</t>
  </si>
  <si>
    <t>Total4</t>
  </si>
  <si>
    <t>Preparation for reuse(3)</t>
  </si>
  <si>
    <t>Recycling(4)</t>
  </si>
  <si>
    <t>Non-mineral waste diverted from disposal by recovery operation in metric tonnes (t) FY2021-2022</t>
  </si>
  <si>
    <t>Non-mineral waste by composition FY2021-2022, in metric tonnes (t)</t>
  </si>
  <si>
    <t>Non-mineral waste directed to disposal, by disposal operation in metric tonnes (t), FY2021-2022</t>
  </si>
  <si>
    <t>Mercury(1)</t>
  </si>
  <si>
    <t>Waste rock generated (2)</t>
  </si>
  <si>
    <t>El Limon Complex (2)</t>
  </si>
  <si>
    <t>Site with protected conservation status or area of endangered species habitat</t>
  </si>
  <si>
    <t>Geographic location</t>
  </si>
  <si>
    <t>Framework</t>
  </si>
  <si>
    <t>Percentage of proved reserves</t>
  </si>
  <si>
    <t>Grade</t>
  </si>
  <si>
    <t>Percentage of probable reserves</t>
  </si>
  <si>
    <t>Grade2</t>
  </si>
  <si>
    <t>Reserves present low risk to biodiversity or ecosystem services? (Y/N)</t>
  </si>
  <si>
    <t>If yes, briefly explain why</t>
  </si>
  <si>
    <t>Central Nevada</t>
  </si>
  <si>
    <t>ICUN Protected Areas Category IV (Habitat Management Area)</t>
  </si>
  <si>
    <t>A comprehensive on site mitigation plan is implemented and administrated by both the Bureau of Land Management and the Nevada Department of Wildlife.</t>
  </si>
  <si>
    <t>No. None exists locally.</t>
  </si>
  <si>
    <t>Larreynaga, El Sauce, Villanueva; Nicaragua</t>
  </si>
  <si>
    <t>La Libertad, Santo Domingo, Rancho Grande, Rosita; Nicaragua</t>
  </si>
  <si>
    <t>Nevada, Washington; United States</t>
  </si>
  <si>
    <t>- Air pollution
- Community fatalities and serious injuries
- Community health problems
- Contractor behaviour and performance
- Damage to local livelihoods 
- Forced displacement
- Loss of access to water
- Loss of wildlife
- Water pollution
- Operational impacts including dust, noise, blasting and vibration
- Road and traffic impacts due to enhanced operations</t>
  </si>
  <si>
    <t>- Air pollution
- Loss of wildlife
- Violations of Indigenous People's rights
- Water pollution</t>
  </si>
  <si>
    <t>(GRI Mining and Metals Sector Disclosure MM9, SDGS 1.4.1,1.4.2, 6.1.1, 6.2.1 &amp; 11.1.1)</t>
  </si>
  <si>
    <t>El Limon Complex (1)</t>
  </si>
  <si>
    <t>Baseline: 0%</t>
  </si>
  <si>
    <t>After resettlement: 100%</t>
  </si>
  <si>
    <t>Baseline: 6%</t>
  </si>
  <si>
    <t>Proportion of total adult population with secure tenure rights to land, with legally recognized documentation</t>
  </si>
  <si>
    <t>Baseline: 100%</t>
  </si>
  <si>
    <t>After resettlement: 0%</t>
  </si>
  <si>
    <t>Baseline: 50%</t>
  </si>
  <si>
    <t>Baseline: 54%</t>
  </si>
  <si>
    <t>Baseline: 10%</t>
  </si>
  <si>
    <t>Note:</t>
  </si>
  <si>
    <t>(1) Restatement of information. Number of households and individuals for the Cebadilla Resettlement at Mina El Limon corrected.</t>
  </si>
  <si>
    <t>La Libertad
Santo Domingo
Rancho Grande
San Ramón
San Isidro
Bonanza
Rosita
Siuna
Waslala</t>
  </si>
  <si>
    <t>- Identification of exclusive zones for artisanal and small-scale mining practices.
- Promotion of technical assistance (training in exploration, safety, environmental protection, awareness of the eradication of child labor, among others).
- Promotion of harmonious relations and working relationships between artisanal miners, concessionaires, investors, property owners, etc.
- Municipal Commission on Artisanal Mining composed of Ministry of Mines, Ministry of Environment, Municipal Mayors, National Police, Nicaraguan Army, Political Secretaries, mining cooperatives and independent mining concessionaires, to discuss and resolve problems related to mining at the territorial level
'- Periodic monitoring and reporting to relevant government authorities
- Permanent engagement with ASM cooperatives
- Security protocols for ASM trespassing in Calibre properties
- Artisanal mining census.</t>
  </si>
  <si>
    <t>Direct economic value generated and distributed FY2020-2022 (Million USD)</t>
  </si>
  <si>
    <t>Direct economic value generated (1)</t>
  </si>
  <si>
    <t>Economic value distributed</t>
  </si>
  <si>
    <t>Operating costs (2)</t>
  </si>
  <si>
    <t>Employee wages and benefits (3)</t>
  </si>
  <si>
    <t>Payments to providers of capital (4)</t>
  </si>
  <si>
    <t>Taxes and Royalties (5)</t>
  </si>
  <si>
    <t>Community investments (6)</t>
  </si>
  <si>
    <t>Economic value retained (7)</t>
  </si>
  <si>
    <t>Country of operation</t>
  </si>
  <si>
    <t>Monthly entry level wage FY2022 (USD$)</t>
  </si>
  <si>
    <t>Monthly minimum wage FY2022 (USD$)</t>
  </si>
  <si>
    <t>Ratio of standard entry level wage to local minimum wage FY2022</t>
  </si>
  <si>
    <t>Electricity</t>
  </si>
  <si>
    <t>Mina El Limon, Larreynaga</t>
  </si>
  <si>
    <t>Commercial</t>
  </si>
  <si>
    <t>~7,500</t>
  </si>
  <si>
    <t>Housing</t>
  </si>
  <si>
    <t>Ely, Nevada</t>
  </si>
  <si>
    <t>Road</t>
  </si>
  <si>
    <t>~450</t>
  </si>
  <si>
    <t>Riscos de Oro, Rosita</t>
  </si>
  <si>
    <t>Education</t>
  </si>
  <si>
    <t>~500</t>
  </si>
  <si>
    <t>Construction of multipurpose sports center</t>
  </si>
  <si>
    <t>Malpaisillo, Larreynaga</t>
  </si>
  <si>
    <t>Water</t>
  </si>
  <si>
    <t>Type of infrastructure supported</t>
  </si>
  <si>
    <t>Investment FY2022</t>
  </si>
  <si>
    <t>Type of investment</t>
  </si>
  <si>
    <t>Beneficiaries (#)</t>
  </si>
  <si>
    <t>Current or expected impacts on communities and local economies</t>
  </si>
  <si>
    <t>Indirect economic impact identified</t>
  </si>
  <si>
    <t>Significance</t>
  </si>
  <si>
    <t>Contribution to the sector's productivity and the national macroeconomy</t>
  </si>
  <si>
    <t xml:space="preserve">Jobs supported in the supply or distribution chain </t>
  </si>
  <si>
    <t xml:space="preserve">Economic development in rural areas </t>
  </si>
  <si>
    <t>Economic impact to tax revenues from operation activity</t>
  </si>
  <si>
    <t>Contractor workforce FY2022 (#) [Workers who are not employees]</t>
  </si>
  <si>
    <t>Contractor workforce trained (#)(1)</t>
  </si>
  <si>
    <t>Training hours provided (#)</t>
  </si>
  <si>
    <t>Average training hours per contractor worker</t>
  </si>
  <si>
    <t>Topic(s)</t>
  </si>
  <si>
    <t xml:space="preserve">Health and safety standards, procedures and protocols; social performance standards; environmental and biodiversity management (including waste and hydrocarbon management). </t>
  </si>
  <si>
    <t>Site specific safety and health hazards</t>
  </si>
  <si>
    <t>Local - community (1)</t>
  </si>
  <si>
    <t>Local - Community (1)</t>
  </si>
  <si>
    <t>New local-community hires (#)</t>
  </si>
  <si>
    <t>New local-community hires (%)</t>
  </si>
  <si>
    <t>Local-community turnover (#)</t>
  </si>
  <si>
    <t>Local-community turnover (of all employees) (%)</t>
  </si>
  <si>
    <t>1. Overview &gt; 1.8 Our Approach to Stakeholder Engagement</t>
  </si>
  <si>
    <t>4. Governance &gt; 4.1 Corporate Governance and Business Ethics</t>
  </si>
  <si>
    <t>2023 Sustainability scorecard</t>
  </si>
  <si>
    <t>Progress toward 2022 sustainability scorecard</t>
  </si>
  <si>
    <t>2023 Targets</t>
  </si>
  <si>
    <t>SECTOR</t>
  </si>
  <si>
    <t>TOPIC</t>
  </si>
  <si>
    <t>Environment</t>
  </si>
  <si>
    <t>Rights of Communities and Indigenous Peoples</t>
  </si>
  <si>
    <t>Artisanal and Small-Scale Mining</t>
  </si>
  <si>
    <t>Tax Transparency</t>
  </si>
  <si>
    <t>Social</t>
  </si>
  <si>
    <t>Governance</t>
  </si>
  <si>
    <t xml:space="preserve">- Environmental compliance with all permit requirements.  
- Zero notice of violations for breaching environmental permits.
- Annual environmental budget and management plans in place to meet all obligations. </t>
  </si>
  <si>
    <t>For our Nicaragua operations: 
- Maintain or improve the percentage of recycling of non-mineral waste.
- Operate sanitary landfills to properly dispose common, non-recyclable waste.
- Ensure safe handling and disposal of hazardous waste.
For our US operations:
- Implement a new process database system to improve upon reporting and shorten reaction times to non-compliant process conditions. 
- Continue carbon fines waste management.
- Hold Hazardous Waste Operator (HAZWOPER) training with required personnel.</t>
  </si>
  <si>
    <t>For our Nicaragua operations:
- Zero non-technical delays related to community disputes.
- Resolve &gt;80% of community grievances registered.
- 100% public consultations conducted result in permit approval, and show evidence of substantial community engagement, and conformance with the FPIC principle when dealing with Indigenous Peoples.
For our US operations:
- Continue building relationship with neighboring Indigenous People tribes via quarterly meetings.
- Join White Pine County Chamber of Commerce.</t>
  </si>
  <si>
    <t xml:space="preserve">For our Nicaragua operation:
- Analyse feasibility of resettlement or land acquisition process for our Veta Panteon project at El Limon Mine.
- Ensure completion and delivery to municipal authorities of complementary works conducted at San Gil Urbanization.
- Design a land acquisition manual to ensure purchase under preestablished criteria /thresholds (such as negotiation process, due diligence mechanisms, vulnerability assessment of property owners). </t>
  </si>
  <si>
    <t>For our Nicaragua operations:
- Formalize and audit ASM model guidelines, processes, and mechanisms.
- Increase access to formal markets for ASM mineral extracted following sustainability good practices.</t>
  </si>
  <si>
    <t>For our Nicaragua operations:
- Training on values, behaviors and diversity, equity and inclusion.
- Develop leadership skills in our top management.
- Respect workers' freedom of union association; Indicator: monthly report on union membership: Process 100% of requests for union membership or disaffiliation.
- Respect workers' right to collective bargaining; Indicator: Collective bargaining agreement review report: Conduct 100% of collective bargaining negotiations scheduled at Calibre Mining Units in a timely manner.
- Minimize the possibility of a work stoppage or strike: Zero strikes or work stoppages in the year.
- Correct application of and compliance with labor regulations and collective bargaining agreements: Full compliance with collective bargaining agreements.
For our US operations:
- Ensure all employees are educated and sign the Corporate Governance Policies.
- Continue annual training on harassment.
- Educate employees on reporting concerns and grievances.
- Identify any other relevant training needs.</t>
  </si>
  <si>
    <t xml:space="preserve">For our Nicaragua operations:
- Implement a GHG site-based reduction action plan for our Nicaraguan Assets.
- Review the TCFD framework’s four recommended areas for reporting and conduct an assessment to identify and understand climate-related risks and opportunities.
For our US operations:
- Calculate GHG CO2 and CO2E for baseline identifiers at our Pan Mine. </t>
  </si>
  <si>
    <t>For our Nicaragua operations:
- Maintain water recirculation from our TSFs in Nicaragua to process plants. 
- Implement erosion and sedimentation control measures in all intervened areas at our Nicaraguan assets.</t>
  </si>
  <si>
    <t xml:space="preserve">- Conduct internal assessment on compliance against EITI standards &amp; disclosures for our Nicaraguan subsidiaries. </t>
  </si>
  <si>
    <t>For our Nicaragua operations:
- Optimize our Ethics and Compliance System to identify and eliminate or mitigate potential non-compliances resulting from business partnerships.
For our U.S operations:
- Integrate our Code of Ethics in supplier contracts signed with Pan Mine and evidence of formal acknowledgment of commitment obtained.
- Establish a Supply Chain Policy that sets out the company’s requirements of suppliers, including ethical, safety, health, human rights, social and environmental standards and expectations established at Pan Mine.</t>
  </si>
  <si>
    <t>- 100% Calibre security workforce undergo refresher training on Voluntary Principles on Security and Human Rights.
- Establish a procedure to assess security risks and conduct VPSHR risk assessments at site level.</t>
  </si>
  <si>
    <t>Achieved</t>
  </si>
  <si>
    <t>Not achieved</t>
  </si>
  <si>
    <t>Production of metal ores and finished metal products</t>
  </si>
  <si>
    <t>Habitats protected or restored (1)</t>
  </si>
  <si>
    <t>IUCN Red List species and national conservation list species with habitats in areas affected by operations</t>
  </si>
  <si>
    <t xml:space="preserve">Amount of land owned or leased, and managed for production activities or extractive use, disturbed or rehabilitated </t>
  </si>
  <si>
    <t>Percentage of proved and probable reserves in or near sites with protected conservation status or endangered species habitat</t>
  </si>
  <si>
    <t>Material mineral properties included in this report</t>
  </si>
  <si>
    <t>Associated operations</t>
  </si>
  <si>
    <t>% Ownership</t>
  </si>
  <si>
    <t>Association</t>
  </si>
  <si>
    <t>Our role</t>
  </si>
  <si>
    <t>Date of adherence</t>
  </si>
  <si>
    <t>Voluntary commitments</t>
  </si>
  <si>
    <t>Stakeholder group</t>
  </si>
  <si>
    <t>Purpose of engagement</t>
  </si>
  <si>
    <t>Methods of engagement</t>
  </si>
  <si>
    <t>Frequency</t>
  </si>
  <si>
    <t xml:space="preserve">Examples </t>
  </si>
  <si>
    <t>Material topics FY2022</t>
  </si>
  <si>
    <t xml:space="preserve">Issues groups within this topic </t>
  </si>
  <si>
    <t>ASM present?</t>
  </si>
  <si>
    <t>Associated risks</t>
  </si>
  <si>
    <t>Actions taken</t>
  </si>
  <si>
    <t>Trailing of water pollution avoided due to Calibre ore purchase program with artisanal miners FY2020-2022</t>
  </si>
  <si>
    <t>Nature of impact</t>
  </si>
  <si>
    <t>Type of impact</t>
  </si>
  <si>
    <t>Species affected</t>
  </si>
  <si>
    <t xml:space="preserve">Size of habitat protected (Km2)(1) </t>
  </si>
  <si>
    <t>Geographic location of habitat protected</t>
  </si>
  <si>
    <t>Size of habitat restored (Km2)</t>
  </si>
  <si>
    <t>Geographic location of habitat restored</t>
  </si>
  <si>
    <t>Restoration subject to independent inspection / Audit?</t>
  </si>
  <si>
    <t>Partnership with third parties?</t>
  </si>
  <si>
    <t>Status of area</t>
  </si>
  <si>
    <t>Site assessed under the criteria as in need of a BMP?</t>
  </si>
  <si>
    <t>Criteria used for deciding that a BMP is required</t>
  </si>
  <si>
    <t>Site requiring BMP?</t>
  </si>
  <si>
    <t>BMP in place?</t>
  </si>
  <si>
    <t>BMP operational?</t>
  </si>
  <si>
    <t>Direct (Scope 1) GHG emissions</t>
  </si>
  <si>
    <t>Energy indirect (Scope 2) GHG emissions</t>
  </si>
  <si>
    <t>GHG emissions intensity</t>
  </si>
  <si>
    <t>Reduction of GHG emissions</t>
  </si>
  <si>
    <t>Does the operation have local community engagement plans? Is it based on SH mapping?</t>
  </si>
  <si>
    <t>SIA conducted? Year of last SIA</t>
  </si>
  <si>
    <t>Does the operation have formal local community grievance processes?</t>
  </si>
  <si>
    <t>Site engages with broad-based local community consultation committees that include vulnerable groups?</t>
  </si>
  <si>
    <t>Sites engages with worker councils, OH&amp;S committees and other worker representation bodies to manage social impacts?</t>
  </si>
  <si>
    <t>Formal agreements (2) with Indigenous Peoples' communities?</t>
  </si>
  <si>
    <t>How are stakeholders informed of the mechanism?</t>
  </si>
  <si>
    <t>Intended users</t>
  </si>
  <si>
    <t>Availability and accessibility</t>
  </si>
  <si>
    <t>Available in different languages?</t>
  </si>
  <si>
    <t># Concerns registered</t>
  </si>
  <si>
    <t>% Concerns addressed</t>
  </si>
  <si>
    <t>% Resolved or found unsubstantiated</t>
  </si>
  <si>
    <t>Active business partners (#)</t>
  </si>
  <si>
    <t>Active business partners that anti-corruption policies and procedures have been communicated to FY2022 (%)</t>
  </si>
  <si>
    <t>Total Entities (#)(1)</t>
  </si>
  <si>
    <t>Sites Assessed (#)</t>
  </si>
  <si>
    <t>Sites Assessed (%)</t>
  </si>
  <si>
    <t>Significant Risks Identified</t>
  </si>
  <si>
    <t>No assessment conducted during reporting period.</t>
  </si>
  <si>
    <t>Sites assessed include:</t>
  </si>
  <si>
    <t>El Limon Complex (e.g. Triton Minera S.A. subsidiary)</t>
  </si>
  <si>
    <t>La Libertad Complex (e.g. Desarrollo Minero de Nicaragua, S.A &amp; CXB Nicaragua S.A. subsidiaries, which includes the La Libertad Mine, the Pavon Property and EBP project)</t>
  </si>
  <si>
    <t>Operations assessed for risks related to corruption</t>
  </si>
  <si>
    <t>(GRI 205-1)</t>
  </si>
  <si>
    <t>Country-by-country reporting</t>
  </si>
  <si>
    <t>(GRI 207-4)</t>
  </si>
  <si>
    <t>Tax jurisdiction</t>
  </si>
  <si>
    <t>DESMINIC S.A. (including CXB Nicaragua, S.A.); TRITON S.A.</t>
  </si>
  <si>
    <t>Fiore Gold Ltd., Fiore Gold (US) Inc., GRP Services, LLC., GRP Pan, LLC., GRP Gold Rock, LLC., GRP Golden Eagle, LLC., GRP Pinyon, LLC., Calibre Real Estate, LLC.</t>
  </si>
  <si>
    <t>Primary activity</t>
  </si>
  <si>
    <t>Gold mining &amp; exploration</t>
  </si>
  <si>
    <t># Employees (FTE calculation)</t>
  </si>
  <si>
    <t>Reasons for difference</t>
  </si>
  <si>
    <t>The income tax paid corresponds to the monthly advance income tax, and the remaining balance relates to the annual corporate income tax due by the end of February.</t>
  </si>
  <si>
    <t>Temporary / timing differences.</t>
  </si>
  <si>
    <t>(GRI 403-5; SASB EM-MM-320a.1)</t>
  </si>
  <si>
    <t>(GRI 302-1; SASB EM-MM-130A.1)</t>
  </si>
  <si>
    <t>(GRI 305-1; SASB EM-MM-110a.1 )</t>
  </si>
  <si>
    <t>(SASB EM-MM-160a.3)</t>
  </si>
  <si>
    <t>(GRI 403-9; SASB EM-MM-320a.1; SDG 8.8.1)</t>
  </si>
  <si>
    <t>(GRI 403-9, 403-10; EM-MM-320a.1, SDG 8.8.1)</t>
  </si>
  <si>
    <t xml:space="preserve">Employees </t>
  </si>
  <si>
    <t>(GRI 2-7; EM-MM-000.B)</t>
  </si>
  <si>
    <t>Contractors by country FY2020-2022</t>
  </si>
  <si>
    <t>New hires (#)(4)</t>
  </si>
  <si>
    <t>% Employee population</t>
  </si>
  <si>
    <t>New hires (#)</t>
  </si>
  <si>
    <t>Total (#)</t>
  </si>
  <si>
    <t>Total (%)</t>
  </si>
  <si>
    <t>Sites where resettlement took place, the number of household resettled in each, and how their livelihoods were affected in the process</t>
  </si>
  <si>
    <t>New suppliers that were screened using environmental &amp; social criteria</t>
  </si>
  <si>
    <t>New suppliers FY2022 (#)</t>
  </si>
  <si>
    <t>Negative environmental or social impacts in the supply chain and actions taken</t>
  </si>
  <si>
    <t>(GRI 308-2, 414-2)</t>
  </si>
  <si>
    <t>b. Number of suppliers identified as having significant actual and potential negative environmental or social impacts.</t>
  </si>
  <si>
    <t>c. Significant actual and potential negative environmental or social impacts identified in the supply chain.</t>
  </si>
  <si>
    <t>d. Percentage of suppliers identified as having significant actual and potential negative environmental or social impacts with which improvements were agreed upon as a result of assessment.</t>
  </si>
  <si>
    <t>e. Percentage of suppliers identified as having significant actual and potential negative environmental or social impacts with which relationships were terminated as a result of assessment, and why.</t>
  </si>
  <si>
    <t>a. Number of suppliers assessed for environmental or social impacts.</t>
  </si>
  <si>
    <t>915 (1)</t>
  </si>
  <si>
    <t>(LPRM 402)</t>
  </si>
  <si>
    <t>Nicaragua(1)</t>
  </si>
  <si>
    <t>Active contracts FY2022 (#)</t>
  </si>
  <si>
    <t>Active contracts with human rights and anti-corruption clauses (#)</t>
  </si>
  <si>
    <t>Active contracts with human rights and anti-corruption clauses (%)</t>
  </si>
  <si>
    <t>ASM workers FY2022 (#)</t>
  </si>
  <si>
    <t>Anti-corruption policy in procurement processes and suppliers</t>
  </si>
  <si>
    <t>Employees compensated based on minimum wage rules (%)</t>
  </si>
  <si>
    <t>Significant indirect economic impacts</t>
  </si>
  <si>
    <t>(GRI 306-4; SASB EM-MM-150A.8)</t>
  </si>
  <si>
    <t>Total amounts of overburden, rock, tailings, and sludges</t>
  </si>
  <si>
    <t>(c) Ownership status</t>
  </si>
  <si>
    <t>(e) Construction method</t>
  </si>
  <si>
    <t>(f) Maximum permitted storage capacity (t)</t>
  </si>
  <si>
    <t>(g) Current amount of tailings stored</t>
  </si>
  <si>
    <t>(h) Consequence classification</t>
  </si>
  <si>
    <t>(i) Date of most recent independent technical review</t>
  </si>
  <si>
    <t>(j) Material findings</t>
  </si>
  <si>
    <t>(k) Mitigation measures</t>
  </si>
  <si>
    <t xml:space="preserve">Potential risks to water sources </t>
  </si>
  <si>
    <t xml:space="preserve">Areas with water stress (8) </t>
  </si>
  <si>
    <t>La Tigra Pit</t>
  </si>
  <si>
    <t>Number and description of significant disputes(1) relating to land use, customary rights of local communities and Indigenous Peoples</t>
  </si>
  <si>
    <t>Number of employees (head count)</t>
  </si>
  <si>
    <t>Number of permanent employees (head count)</t>
  </si>
  <si>
    <t>Number of temporary employees (head count)</t>
  </si>
  <si>
    <t>Number of non-guaranteed hours employees (head count)</t>
  </si>
  <si>
    <t>Number of full-time employees (head count)</t>
  </si>
  <si>
    <t>Number of part-time employees (head count)</t>
  </si>
  <si>
    <t>(SASB EM-MM-540a.1)</t>
  </si>
  <si>
    <t>Tailings storage facility inventory</t>
  </si>
  <si>
    <t>Employee and contractor data on work-related ill-health</t>
  </si>
  <si>
    <t>Contractors</t>
  </si>
  <si>
    <t>Suppliers by origin FY2022 (#)</t>
  </si>
  <si>
    <t xml:space="preserve">National </t>
  </si>
  <si>
    <t>Categorizing suppliers</t>
  </si>
  <si>
    <t>(LPRM 301)</t>
  </si>
  <si>
    <t>Number of training hours provided to its workforce</t>
  </si>
  <si>
    <t># households involved</t>
  </si>
  <si>
    <t>Training and guidance for suppliers</t>
  </si>
  <si>
    <t>(LPRM 403)</t>
  </si>
  <si>
    <t>Sports and Recreation</t>
  </si>
  <si>
    <t>5. Appendixes &gt; 5.2 2023 Sustainability scorecard</t>
  </si>
  <si>
    <t>2023 sustainability scorecard</t>
  </si>
  <si>
    <t>Appendixes</t>
  </si>
  <si>
    <t>5. Appendixes &gt; 5.1 Progress toward 2022 sustainability targets</t>
  </si>
  <si>
    <t>Progress toward 2022 sustainability targets</t>
  </si>
  <si>
    <t>4. Governance &gt; 4.4 Security Practices &gt; 4.4.2 2022 Performance</t>
  </si>
  <si>
    <t>4. Governance &gt; 4.3 Responsible Procurement &gt; 4.3.2 2022 Performance</t>
  </si>
  <si>
    <t>LPRM 402</t>
  </si>
  <si>
    <t>LPRM 403</t>
  </si>
  <si>
    <t>GRI 308-2, 414-2</t>
  </si>
  <si>
    <t>GRI 207-4</t>
  </si>
  <si>
    <t>4. Governance &gt; 4.1 Governance and Business Ethics &gt; 4.1.2 2022 Performance</t>
  </si>
  <si>
    <t>Mechanisms for seeking advice and raising concerns</t>
  </si>
  <si>
    <t>Governance structure and composition</t>
  </si>
  <si>
    <t>3. Social &gt; 3.6 Socio-Economic Contributions &gt; 3.6.2 2022 Performance</t>
  </si>
  <si>
    <t>LPRM 301</t>
  </si>
  <si>
    <t>GRI 204-1; LPRM 302</t>
  </si>
  <si>
    <t>GRI Mining and Metal Sector Disclosure MM8</t>
  </si>
  <si>
    <t>GRI Mining and Metal Sector Disclosure MM9; SDGS 1.4.1, 1.4.2, 6.1.1, 6.2.1 &amp; 11.1.1</t>
  </si>
  <si>
    <t>3. Social &gt; 3.3 Rights of Communities and Indigenous Peoples &gt; 3.3.2 2022 Performance</t>
  </si>
  <si>
    <t>GRI Mining and Metal Sector Disclosure MM7</t>
  </si>
  <si>
    <t>GRI Mining and Metal Sector Disclosure MM6</t>
  </si>
  <si>
    <t>GRI Mining and Metal Sector Disclosure MM5</t>
  </si>
  <si>
    <t>3. Social &gt; 3.2 Health and Safety &gt; 3.2.2 2022 Performance</t>
  </si>
  <si>
    <t>GRI 403-9, 403-10; SASB EM-MM-320a.1; SDG 8.8.1</t>
  </si>
  <si>
    <t>H&amp;S Data Trailing FY2020-2022</t>
  </si>
  <si>
    <t>GRI 403-9; SASB EM-MM-320a.1; SDG 8.8.1</t>
  </si>
  <si>
    <t>Work-related hazards that pose a risk of high-consequence injuries FY2022 (employees + contractors)</t>
  </si>
  <si>
    <t xml:space="preserve">3. Social &gt; 3.2 Health and Safety &gt; 3.2.2 2022 Performance </t>
  </si>
  <si>
    <t>GRI 403-5; SASB EM-MM-320a.1</t>
  </si>
  <si>
    <t>3. Social &gt; 3.1 Labour Rights &gt; 3.1.2 2022 Performance</t>
  </si>
  <si>
    <t>GRI 2-30; SASB EM-MM-310A.1</t>
  </si>
  <si>
    <t xml:space="preserve">Workers who are not employees </t>
  </si>
  <si>
    <t>GRI 2-7; EM-MM-000.B</t>
  </si>
  <si>
    <t>GRI 305-5</t>
  </si>
  <si>
    <t>GRI 305-4</t>
  </si>
  <si>
    <t xml:space="preserve">2. Environment &gt; 2.5 Climate Change &gt; 2.5.2 2022 Performance </t>
  </si>
  <si>
    <t>GRI 305-2</t>
  </si>
  <si>
    <t>GRI 305-1; SASB EM-MM-110A.1</t>
  </si>
  <si>
    <t>GRI 302-1; SASB EM-MM-130A.1</t>
  </si>
  <si>
    <t xml:space="preserve">Energy consumption within the organization </t>
  </si>
  <si>
    <t>2. Environment &gt; 2.4 Biodiversity &gt; 2.4.2 2022 Performance</t>
  </si>
  <si>
    <t>SASB EM-MM-160a.3</t>
  </si>
  <si>
    <t>GRI 304-4</t>
  </si>
  <si>
    <t>GRI 304-3</t>
  </si>
  <si>
    <t>2. Environment &gt; 2.4 Biodiversity &gt; 2.4.2 20222 Performance &gt; Table 5</t>
  </si>
  <si>
    <t>2. Environment &gt; 2.3 Waste and Materials &gt; 2.3.2 2022 Performance</t>
  </si>
  <si>
    <t>SASB EM-MM-540a.1</t>
  </si>
  <si>
    <t>GRI Mining and Metal Sector Disclosure MM3; EM-MM-150a.5, &amp; EM-MM-150a.6</t>
  </si>
  <si>
    <t>Total amount of mineral waste and their associated risks</t>
  </si>
  <si>
    <t>GRI 306-4; SASB EM-MM-150A.8</t>
  </si>
  <si>
    <t>2. Environment &gt; 2.2 Water and Effluents &gt; 2.2.2 2022 Performance</t>
  </si>
  <si>
    <t>SASB EM-MM-140.a.1</t>
  </si>
  <si>
    <t xml:space="preserve">Water balance </t>
  </si>
  <si>
    <t xml:space="preserve">Water consumption </t>
  </si>
  <si>
    <t xml:space="preserve">Water discharge </t>
  </si>
  <si>
    <t xml:space="preserve">Water withdrawal </t>
  </si>
  <si>
    <t>GRI 303-1</t>
  </si>
  <si>
    <t>2. Environment &gt; 2.1 Environmental Management &gt; 2.1.2 2022 Performance &gt; Table 4</t>
  </si>
  <si>
    <t>SASB EM-MM-160a.1</t>
  </si>
  <si>
    <t>1. Overview &gt; 1.7 Our Approach to Stakeholder Engagement &gt; Table 3</t>
  </si>
  <si>
    <t>1. Overview &gt; 1.2 About this report &gt; 1.2.1 Scope of the Report &gt;Table 1</t>
  </si>
  <si>
    <t>Structure of the 2022 ESG performance Data Tables</t>
  </si>
  <si>
    <t>This performance data reflects the annual disclosure of our sustainability performance at wholly owned operations and joint ventures where Calibre is the operator. For our full 2022 Sustainability Report, please visit our website at https://www.calibremining.com/esg/overview/ 
Data is reported in accordance with the Global Reporting Initiative (GRI) Standards and the related GRI G4 Mining and Metals Supplement; the Value Reporting Foundation’s Sustainability Accounting Standards Board (SASB) 2021 Metals &amp; Mining Industry Standards; and the Mining Local Procurement Reporting Mechanism (LPRM), for the period January 1 to December 31, 2022. This report has not been externally assured.</t>
  </si>
  <si>
    <t>A. Corporate Governance and Business Ethics (Corporate governance, Business ethics and compliance, Anti-corruption)
A. Tax Transparency
A. Responsible Procurement (Supplier risk and due diligence, Procurement Practices)
Ni. Security Practices (Human rights and security practices)</t>
  </si>
  <si>
    <t>Does the operation have development programs?</t>
  </si>
  <si>
    <t>Pan Mine relies on the State and National Programmatic Agreements between the Bureau of Land Management and State and National Historic Preservation Offices that addresses any adverse impacts on historic properties as per the National Historic Preservation Act, including attached religious and cultural significance aspects with particular protections for "Indian Tribes" (as the Agreement states). Because Pan is located entirely on public, BLM administered land, it is beholden to the Programmatic Agreement by proxy.</t>
  </si>
  <si>
    <t>Site-level harassment procedure</t>
  </si>
  <si>
    <t>Most common community grievances related to contractor behaviour (mostly due to speeding resulting in dust or property damage - 25%), maintenance of community infrastructure (10%), non-compliance with agreements or compensation (10%), and property damage (livestock, trees and private infrastructure) (7%)</t>
  </si>
  <si>
    <t>Description of how hazards have been determined</t>
  </si>
  <si>
    <t>The actions taken to avoid the repetition of the events are based on the investigations of events (potential) and their root cause.</t>
  </si>
  <si>
    <t>Silica, mercury, lead, noise</t>
  </si>
  <si>
    <t>Exposure monitoring</t>
  </si>
  <si>
    <t>Vice-presidents(1)</t>
  </si>
  <si>
    <t>% of employees covered by collective agreements</t>
  </si>
  <si>
    <t>New suppliers screened using environmental criteria (#)</t>
  </si>
  <si>
    <t>New suppliers screened using environmental criteria (%)</t>
  </si>
  <si>
    <t>Tertiary treatment:  aims to upgrade water to a higher level of quality before it is discharged. It includes processes that remove, for example, heavy metals, nitrogen, and phosphorus (e.g. reverse osmosis and acid water treatment)</t>
  </si>
  <si>
    <t>Consistent closure plans reviewed / developed for all projects</t>
  </si>
  <si>
    <t>- Action delayed for 2023 as focus was put on strengthening environmental organizational structure.</t>
  </si>
  <si>
    <t>- Climate change strategy to reduce greenhouse gas emissions and improve energy efficiency and sustainability of resource used completed. Scope 1 reduced due to more fuel consumption control measures implemented. Scope 2 emissions offset due to purchase of 100% certifiable clean energy from the grid.</t>
  </si>
  <si>
    <t>- Mechanisms updated and 100% of community relations team from operations and explorations trained on correct implementation.</t>
  </si>
  <si>
    <t>- All consultation activities recorded and videos produced and disseminated to workers and other key stakeholders on critical engagement activities conducted in 2022 with Indigenous Peoples and their representatives.</t>
  </si>
  <si>
    <t>- Institutional dialogue established on development planning for Riscos de Oro and Rancho Grande’s area of influence with local and regional authorities.
- Collaboration agreement signed with Larreynaga Municipality to execute local development projects</t>
  </si>
  <si>
    <t>Internal controls improved, and regulatory framework established against illicit influence and conflicts of interests</t>
  </si>
  <si>
    <t>- Handbook of processes, guidelines and mechanisms against illicit influence and conflicts of interests developed and approved.</t>
  </si>
  <si>
    <t xml:space="preserve">For our Nicaragua operations:
- Ensure implementation of 100% of our key projects included in our community investment.
- Participatory community development model replicated at Pavon.
- Local content opportunities improved at Riscos de Oro. 
For our US operations:
- Conduct quarterly meetings with Duckwater Shoshone &amp; the Eureka Business Network.  
- Attend community organizations (i.e. Lions club, Rotary, etc.) at least once a year.  
- Meet with City and County leaders as needed.  </t>
  </si>
  <si>
    <t>Calibre holds the Vice-presidency position in CAMINIC's governing body and fully participates in the Chamber's core activities.</t>
  </si>
  <si>
    <t xml:space="preserve">Calibre is a board member of the NVMA and is active on the Environmental, Health &amp; Safety and Government Policy committees.  </t>
  </si>
  <si>
    <t>Direct and indirect engagement at site level, such as:
- Mixed Commission
- Daily pre-start and periodic town hall meetings
- Training programs
- Management walkabouts
- Bulletins, public boards, newsletters</t>
  </si>
  <si>
    <t>- Right to prior, informed consultation for new projects
- To inform, identify, assess and manage actual and potential risks, opportunities &amp; impacts, such as: employment and local business opportunities, community investment, environmental stewardship, noise/dust/vibration generation, land access/resettlement, fair and transparent distribution of economic contributions, etc.</t>
  </si>
  <si>
    <t>Direct and indirect engagement at site level, such as:
- Public consultations, ESIAs
- Community grievance mechanism
- ASM territorial commissions
- Face-to-face meetings
- Regular meetings with authorities and community leaders
- Local cultural and sporting events
- Socioeconomic programs
- Newspapers, radio, TV, newsletters</t>
  </si>
  <si>
    <t>- To provide information of interest, such as financial, operating and ESG performance, government regulations and permitting, and mergers, acquisitions and divestments</t>
  </si>
  <si>
    <t>- To inform/discuss/collaborate issues of common interest such as policy positions, industry targets, reporting on site performance, responsible business practice and ESG performance</t>
  </si>
  <si>
    <t>Direct engagement at corporate level, such as:
- Active participation as members and on boards or other leadership assignments
- Industry-wide initiatives
- Meetings and personal communications</t>
  </si>
  <si>
    <t>- To inform/consult on issues such as share price performance, financial and operating performance, balance sheet strength, reserves and resources, ESG performance, company growth, government regulations and permitting, and mergers, acquisitions and divestments</t>
  </si>
  <si>
    <t>Number of operating sites</t>
  </si>
  <si>
    <t>Percentage of operating sites</t>
  </si>
  <si>
    <t>Positive contribution to 2 out of 21 basins in Nicaragua (e.g. 10%)</t>
  </si>
  <si>
    <t>Proportion of bodies of water with good ambient water quality:</t>
  </si>
  <si>
    <t>Mandatory MSHA protocols</t>
  </si>
  <si>
    <t>Onsite3</t>
  </si>
  <si>
    <t>Offsite4</t>
  </si>
  <si>
    <t>Total5</t>
  </si>
  <si>
    <t>Offsite2</t>
  </si>
  <si>
    <t>264.60</t>
  </si>
  <si>
    <t>524.50</t>
  </si>
  <si>
    <t>789.10</t>
  </si>
  <si>
    <t>264.6</t>
  </si>
  <si>
    <t>524.5</t>
  </si>
  <si>
    <t>789.1</t>
  </si>
  <si>
    <t>Company2</t>
  </si>
  <si>
    <t>Company3</t>
  </si>
  <si>
    <t>El Limon Complex2</t>
  </si>
  <si>
    <t>La Libertad Complex3</t>
  </si>
  <si>
    <t>Indirect energy purchased for consumption by source</t>
  </si>
  <si>
    <t>GHG emissions trail FY2020-2022</t>
  </si>
  <si>
    <t>(GRI 305-1, 305-2; SASB EM-MM-110a.1 )</t>
  </si>
  <si>
    <t>GRI 305-1, 305-2; SASB EM-MM-110A.1</t>
  </si>
  <si>
    <t>Total Hg (t)</t>
  </si>
  <si>
    <t>Ore Purchase (t)</t>
  </si>
  <si>
    <t>Total H2O (cubic meters)</t>
  </si>
  <si>
    <t>Total FY2020-2022</t>
  </si>
  <si>
    <t>3 out of 3</t>
  </si>
  <si>
    <t>Number of operations with closure plans:</t>
  </si>
  <si>
    <t>Percentage of operations with closure plans:</t>
  </si>
  <si>
    <t>GHG emissions intensity by site FY2020-2022 (tCO2-e/oz gold produced)</t>
  </si>
  <si>
    <t>Energy consumption within the organization by site (GJ)</t>
  </si>
  <si>
    <t>Energy intensity by site (GJ/oz gold produced)</t>
  </si>
  <si>
    <t xml:space="preserve">Energy intensity by site FY2020-2022 (GJ/oz gold produced) </t>
  </si>
  <si>
    <t xml:space="preserve">Direct (Scope 1) GHG emissions by site </t>
  </si>
  <si>
    <t>GHG emissions trail by site (tCO2-e)</t>
  </si>
  <si>
    <t>GHG emissions intensity by site (tCO2-e/oz gold produced)</t>
  </si>
  <si>
    <t>Worker(1) training on occupational health and safety</t>
  </si>
  <si>
    <t xml:space="preserve">Employee data on work-related injuries by site </t>
  </si>
  <si>
    <t xml:space="preserve">Contractor data on work-related injuries by site </t>
  </si>
  <si>
    <t>Work-related hazards that pose a risk of high-consequence injuries by site (Employees + Contractors)</t>
  </si>
  <si>
    <t xml:space="preserve">Employee and contractor data on work-related ill-health </t>
  </si>
  <si>
    <t>H&amp;S Data Trailing by site (1)</t>
  </si>
  <si>
    <t xml:space="preserve">New employee hires and employee turnover by site </t>
  </si>
  <si>
    <t xml:space="preserve">Workers who are not employees (Contractors) </t>
  </si>
  <si>
    <t>Employees per gender, per category, FY2022</t>
  </si>
  <si>
    <t>Employees per age group, per category, FY2022</t>
  </si>
  <si>
    <t>Direct economic value generated and distributed (Million USD)</t>
  </si>
  <si>
    <t>Proportion of spending on suppliers FY2020-2022 (%)</t>
  </si>
  <si>
    <t>Local - community</t>
  </si>
  <si>
    <t>Water withdrawal by source (ML)</t>
  </si>
  <si>
    <t>Water discharge (ML)</t>
  </si>
  <si>
    <t>Water consumption (ML)</t>
  </si>
  <si>
    <t>El Limon Complex5</t>
  </si>
  <si>
    <t>La Libertad Complex6</t>
  </si>
  <si>
    <t>Host Communities</t>
  </si>
  <si>
    <t>Peers and Industry Associations</t>
  </si>
  <si>
    <t>Shareholders, Investors and Analysts</t>
  </si>
  <si>
    <t>Government and Regulatory Bodies</t>
  </si>
  <si>
    <t>Employees and Unions</t>
  </si>
  <si>
    <t>Control of fuel consumption at Limon</t>
  </si>
  <si>
    <t xml:space="preserve">Total </t>
  </si>
  <si>
    <t>Total amounts of overburden, rock, tailings, and sludges (t)</t>
  </si>
  <si>
    <t>Direct (Scope 1) GHG emissions FY2020-2022 (tCO2-e)</t>
  </si>
  <si>
    <t>GHG emissions (Scopes 1 &amp; 2) FY2020-2022  (tCO2-e)</t>
  </si>
  <si>
    <t xml:space="preserve">Improvements to El Chontaleño road, and re-paving of 517mts in the Nueva Santa Pancha urbanization </t>
  </si>
  <si>
    <t xml:space="preserve">Donation of 800gls of diesel for the repair of the Barrio Pobre – Riscos de Oro road </t>
  </si>
  <si>
    <t>Repair of Miguel Angel Cienfuegos access road</t>
  </si>
  <si>
    <t>Expansion and improvement of the drinking water system, including installation of pump and piping, maintenance of three water storage tanks in the communities of Minvah, Vieja Santa Pancha and Mina El Limon, and payment of energy for the local water plant.</t>
  </si>
  <si>
    <t>Expansion of the water system, including the installation of pumping equipment</t>
  </si>
  <si>
    <t>Donation and installation of septic tanks, kitchen and dormitory items for municipal fire station</t>
  </si>
  <si>
    <t>3. Social &gt; 3.2 Health and Safety &gt; 3.2.2 2022 Performance &gt; Table 6</t>
  </si>
  <si>
    <t>3. Social &gt; 3.2 Health and Safety &gt; 3.2.2 2022 Performance &gt; Table 7</t>
  </si>
  <si>
    <t xml:space="preserve">3. Social &gt; 3.3 Rights of Communities and Indigenous Peoples &gt; 3.3.2 2022 Performance </t>
  </si>
  <si>
    <t>3. Social &gt; 3.3 Rights of Communities and Indigenous Peoples &gt; 3.3.2 2022 Performance &gt; Table 8</t>
  </si>
  <si>
    <t>3. Social &gt; 3.4 Land Acquisition and Resettlement &gt; 3.4.2 2022 Performance &gt; Table 9</t>
  </si>
  <si>
    <t>3. Social &gt; 3.5 Artisanal and Small-Scale Mining &gt; 3.5.2 2022 Performance &gt; Table 10</t>
  </si>
  <si>
    <t xml:space="preserve">3. Social &gt; 3.5 Artisanal and Small-Scale Mining &gt; 3.5.2 2022 Performance </t>
  </si>
  <si>
    <t>3. Social &gt; 3.6 Socio-Economic Contributions &gt; 3.6.2 2022 Performance &gt; Table 11</t>
  </si>
  <si>
    <t>3. Social &gt; 3.6 Socio-Economic Contributions &gt; 3.6.2 2022 Performance &gt; Table 12</t>
  </si>
  <si>
    <t>3. Social &gt; 3.6 Socio-Economic Contributions &gt; 3.6.2 2022 Performance &gt; Table 13</t>
  </si>
  <si>
    <t>4. Governance &gt; 4.2 Tax Transparency &gt; 4.2.2 2022 Performance &gt; Table 14</t>
  </si>
  <si>
    <t>4. Governance &gt; 4.3 Responsible Procurement &gt; 4.3.2 2022 Performance &gt; Table 15</t>
  </si>
  <si>
    <t>Resident entities (1)</t>
  </si>
  <si>
    <t>Revenues form third-party sales</t>
  </si>
  <si>
    <t xml:space="preserve">Revenues from intra-group transactions </t>
  </si>
  <si>
    <t xml:space="preserve">Profit/loss before tax </t>
  </si>
  <si>
    <t>Tangible assets other than cash and cash equivalents</t>
  </si>
  <si>
    <t xml:space="preserve">Corporate income tax paid </t>
  </si>
  <si>
    <t>Corporate income tax accrued on profit/loss (2)</t>
  </si>
  <si>
    <t>Period covered (3)</t>
  </si>
  <si>
    <t>Country-by-country reporting (USD millions)</t>
  </si>
  <si>
    <t xml:space="preserve">Gross market-based energy indirect (Scope 2) GHG emissions by site </t>
  </si>
  <si>
    <t>Market-based energy indirect (Scope 2) GHG emissions FY2020-2022  (tCO2-e)</t>
  </si>
  <si>
    <t>GHG emissions reduced from redemption of I-REC certificates (CO2e tons)</t>
  </si>
  <si>
    <t>Wildlife, waste management, air emissions, water pollution control, groundwater use, stormwater management, cultural resources, and reclamation.</t>
  </si>
  <si>
    <t>Site (1)</t>
  </si>
  <si>
    <t>Amount of land newly rehabilitated within the reporting period to the agreed end use (C)(Km2) (2)</t>
  </si>
  <si>
    <t>Description of environmental management policies and practices for active sites</t>
  </si>
  <si>
    <t>Policies and practices being implemented?</t>
  </si>
  <si>
    <t xml:space="preserve">Topics addressed </t>
  </si>
  <si>
    <t>Size of area (Km2)(1)</t>
  </si>
  <si>
    <t>Significant infrastructure investments and services supported</t>
  </si>
  <si>
    <t>Significant infrastructure or service provided (1)</t>
  </si>
  <si>
    <t>Local - Country (2)</t>
  </si>
  <si>
    <t>National (3)</t>
  </si>
  <si>
    <t>Local - country</t>
  </si>
  <si>
    <t>New local-country hires (#)</t>
  </si>
  <si>
    <t>New local-country hires (%)</t>
  </si>
  <si>
    <t>Local-country turnover (#)</t>
  </si>
  <si>
    <t>Local-country turnover (of all employees) (%)</t>
  </si>
  <si>
    <t>New national hires (#)</t>
  </si>
  <si>
    <t>New national hires (%)</t>
  </si>
  <si>
    <t>National turnover (#)</t>
  </si>
  <si>
    <t>National turnover (of all employees) (%)</t>
  </si>
  <si>
    <t>By gender (1)</t>
  </si>
  <si>
    <t>Local - community (2)</t>
  </si>
  <si>
    <t>Local-national (3)</t>
  </si>
  <si>
    <t>Local - country (2)</t>
  </si>
  <si>
    <t>- The value added of mining in Nicaragua has grown 42 % since 2019 (C$ 3,209M in 2019 to C$ 4,570.5M in 2021 ) and 367 % since 2009 (C$ 978.7M).
- Calibre distributed US$ 324M in direct economic value, ~2% of Nicaragua's GDP (US$ 15,672M).
- Calibre was responsible for 49% of gold produced in 2022 (180,490oz out of 368,450oz). 
- Calibre was responsible for 35% of gold exports in 2022 (180,490oz out of 511,182oz). Totaling US$ 927.4M in 2022, gold remained Nicaragua’s #1 export product for the third consecutive year, and Calibre was the biggest exporter from the country, supporting Nicaragua’s economic recovery and transformation.</t>
  </si>
  <si>
    <t xml:space="preserve">- Calibre contributed US$ 99.2M to national FDI (5% of Nicaragua’s total FDI of US$ 1,842.3M in 2022, according to Nicaragua’s Central Bank). [link: https://www.bcn.gob.ni/publicaciones/informe_anual] </t>
  </si>
  <si>
    <t>- Average monthly salary in the mining sector (C$ 17,796) is second highest in the country, surpassed only by the financial sector (C$ 18,230). Calibre’s average wage in 2022 (C$ 44,165) is 2.5 times the average wage in the mining sector.
- A study by FUNIDES in 2016 showed that average household incomes in Nicaragua’s mining communities doubled those in similar non-mining communities, contributing to a significant reduction in multi-dimensional poverty.</t>
  </si>
  <si>
    <t>- A large part of the value created by our activities remains in country: for every dollar of gold production, approximately 63 cents remain in the host country through salaries, taxes and payments to local suppliers and service providers.
- In 2022, over US$ 125M was spent on national suppliers (76% of total procurement).</t>
  </si>
  <si>
    <t>-  Calibre employed 69 people directly and 110 full-time contractors, greatly benefiting rural Nevada. We provided US$ 12.9M in salary and benefits to our employees.   
- In 2022, US$ 85M was spent on national suppliers (97% of total procurement).</t>
  </si>
  <si>
    <t xml:space="preserve">- We paid $3.4 M in taxes and royalties.  </t>
  </si>
  <si>
    <t>Infrastructure improvements to Miguel Angel Cienfuegos School, including construction of multi-grade classroom and bathrooms</t>
  </si>
  <si>
    <t>Construction of a cafeteria and painting of 14 de Septiembre School in Yahosca Arriba [Link: https://www.youtube.com/watch?v=qsyfpep8RIc]</t>
  </si>
  <si>
    <t>Divino Niño School Improvement, including construction of bathrooms and 75m of perimeter wall, painting, ceiling and door repair, and installation of piping and a 1,250lt water tank</t>
  </si>
  <si>
    <t>Electricity subsidy for El Limon Town</t>
  </si>
  <si>
    <t xml:space="preserve">San Gil phase I complementary works, including road paving, sidewalk and gutter construction, retainer walls, fencing and front walls </t>
  </si>
  <si>
    <t>Construction of the Cedar Creek Housing Complex to alleviate impacts on housing demand in the local community</t>
  </si>
  <si>
    <t>Donation of 20,000mt3 of select material to improve community roads in La Libertad and the Cuapa – Libertad road</t>
  </si>
  <si>
    <t>Improvement of 1.08km of rural road for the Las Brisas, El Pajaro and Las Vallas communities</t>
  </si>
  <si>
    <t>Repair of 1km of the Wasminona – Riscos de Oro road</t>
  </si>
  <si>
    <t>Nuevo Jabali park civil works, including installation of playground structures</t>
  </si>
  <si>
    <t>Transfer and installation of runoff piping piping to improve drainage on main road</t>
  </si>
  <si>
    <t>SDG target 4.a aims to build and upgrade education facilities that provide safe, non-violent, inclusive and effective learning environments for all. Ensuring adequate facilities also encourages school enrolment and retention and ensures equal access to opportunities and services. [link: https://content.unops.org/publications/The-critical-role-of-infrastructure-for-the-SDGs_EN.pdf]</t>
  </si>
  <si>
    <t>SDG 7 seeks to ensure access to affordable, reliable, sustainable and modern energy for all by 2030. Contributing to this objective impacts a wide range of development indicators, including health, education, food security, gender equality, livelihoods and poverty reduction, all while improving overall community productivity.</t>
  </si>
  <si>
    <t>SDG 11 seeks to ensure access for all to adequate, safe and affordable housing and to upgrade slums. Housing is a platform for household resilience and sustainability, positively impacting indicators from the Human Development Index and the Multidimensional Poverty Index such as health, education and standard of living, and even influencing factors that mediate the effects of climate change. [Link: https://www.habitat.org/sites/default/files/documents/Housing-and-Sustainable-Development-Goals.pdf]</t>
  </si>
  <si>
    <t>SDG target 9.1 aims to develop quality, reliable, sustainable and resilient infrastructure to support economic development and human well-being. Rural roads are proven poverty reducers by: providing access to basic services, reducing vulnerabilities, increasing connectivity and resilience, providing opportunities, enabling flows of agricultural inputs, reducing transportation costs, and expanding earnings opportunities through easier access to markets. [link: https://www.teriin.org/sites/default/files/2019-05/rural-roads-sdgs.pdf]</t>
  </si>
  <si>
    <t>SDG 3 aims to ensure healthy lives and wellbeing for all. Sports activities contribute to improved health, tolerance, empowerment and community cohesion. [Link: https://www.un.org/en/chronicle/article/role-sport-achieving-sustainable-development-goals#:~:text=In%20its%20contribution%20towards%20peace,play%3B%20and%20develop%20social%20competencies]. Sports can also provide economic benefits to communities from spending attributed to events in new facilities.</t>
  </si>
  <si>
    <t>SDG target 11.7 aims to provide universal access to safe, inclusive green and public spaces. Public space provides leverage to: optimize urban performance; build safer, healthier and more cohesive communities; reduce spatial inequalities; build local economies; and bring nature back to the city. [Link: https://unhabitat.org/topic/public-space]</t>
  </si>
  <si>
    <t>In 2010, the UN General Assembly explicitly recognized the human right to water and sanitation. SDG target 6.1 calls for universal and equitable access to safe and affordable drinking water. Contributing to this target fuels public health, food production and poverty reduction. Better water sources also mean less expenditure on health and less impact on school attendance and productivity, as people are less likely to fall ill and incur medical costs. [link: https://www.who.int/news-room/fact-sheets/detail/drinking-water#:~:text=Safe%20and%20readily%20available%20water,contribute%20greatly%20to%20poverty%20reduction. ]</t>
  </si>
  <si>
    <t>*Zero fatalities in our workforce.
*26% reduction in 2022 (LTIFR 0.38) vs. 2021 (LTIFR 0.51) for Nicaragua.
*2% decrease in 2022 (TRIFR 1.02) vs. 2021 (TRIFR 1.05) for Nicaragua.
*35.40% reduction in 2022 (ISR 10.80) vs. 2021 (ISR 16.72).</t>
  </si>
  <si>
    <t># Employees covered by the H&amp;S Management System:</t>
  </si>
  <si>
    <t>% Employees covered by the H&amp;S Management System:</t>
  </si>
  <si>
    <t># Workers covered by the H&amp;S Management System:</t>
  </si>
  <si>
    <t>% Workers covered by the H&amp;S Management System:</t>
  </si>
  <si>
    <t xml:space="preserve">A. Labour Rights (Employment practices, Freedom of association and collective bargaining, Training and education, Non-discrimination and equal opportunity, Diversity and inclusion, Child labor, and forced or compulsory labour)
A. Health and safety (Occupational health and safety, Transport &amp; traffic accidents, Emergency preparedness)
A. Rights of Communities and Indigenous Peoples (Local communities, Rights of Indigenous Peoples, Community engagement
Ni. Land acquisition and Resettlement 
Ni. Artisanal ad Small-Scale Mining
A. Socio-Economic Contributions (Local employment and local procurement, Investments for community development, economic impacts)
</t>
  </si>
  <si>
    <t>For our Nicaragua Operations:
- Produce 70,000 trees in Nicaragua to continue contributing to national reforestation plans.
- Deliver initial closure plans to governing authorities.
For our US Operations:
- Review SRCE for updates related to increased mining activity in Nevada.</t>
  </si>
  <si>
    <t>For our Nicaragua operations:
- Leading indicators: Health and Safety Education
          - Change Management: 90% of Workforce actively participate.
          - Emergency Response: 90% of Workforce actively participate.
          - Risk Management and Controls: 90% of Workforce actively participate. 
          - Internal inspections and audits, verification: 90% of Workforce actively participate. 
         - Time Out for Safety Sessions: 90% of Calibre Workforce actively participate.
- Lagging indicators: Health and Safety Performance
          - 10% reduction from 2021 in TRIFR (1.02).
For our US operations:
- Lost Time Injury Free, 15% reduction in TRIFR.</t>
  </si>
  <si>
    <t>- Complete and externally assure our Year 3 progress report on conformance against the WGC’s RGMPs completed and externally assured.
- Implement an action plan to address areas of improvement identified in Human Rights Impact Assessment for Nicaragua.
- Implement an ethics and compliance incidences report tracker for Nicaragua to identify and eliminate or mitigate potential non-compliances resulting from business partnerships. 
- Establish a feedback and grievance procedure at Pan Mine and maintain a record of complaints and grievances raised.</t>
  </si>
  <si>
    <t>GRI 306-3; SASB EM-MM-150A.4, EM-MM-150A.7; &amp; SDG 12.4.2</t>
  </si>
  <si>
    <t>(GRI 306-3; SASB EM-MM-150A.4, EM-MM-150A.7; &amp; SDG 12.4.2)</t>
  </si>
  <si>
    <r>
      <rPr>
        <b/>
        <sz val="9"/>
        <color rgb="FF013248"/>
        <rFont val="Arial"/>
        <family val="2"/>
      </rPr>
      <t>Notes:</t>
    </r>
    <r>
      <rPr>
        <sz val="9"/>
        <color rgb="FF013248"/>
        <rFont val="Arial"/>
        <family val="2"/>
      </rPr>
      <t xml:space="preserve">
(1) Types of energy included: LPG, diesel, unleaded petrol and electricity
(2) Restatement of information FY2021 to align with chosen denominator.</t>
    </r>
  </si>
  <si>
    <r>
      <rPr>
        <b/>
        <sz val="9"/>
        <color rgb="FF013248"/>
        <rFont val="Arial"/>
        <family val="2"/>
      </rPr>
      <t>Note:</t>
    </r>
    <r>
      <rPr>
        <sz val="9"/>
        <color rgb="FF013248"/>
        <rFont val="Arial"/>
        <family val="2"/>
      </rPr>
      <t xml:space="preserve">
(1) Gross global Scope 1 greenhouse gas (GHG) emissions to the atmosphere include the seven GHGs covered under the Kyoto Protocol—carbon dioxide (CO2), methane (CH4), nitrous oxide (N2O), hydrofluorocarbons (HFCs), perfluorocarbons (PFCs), sulfur hexafluoride (SF6), and nitrogen trifluoride (NF3).</t>
    </r>
  </si>
  <si>
    <r>
      <rPr>
        <b/>
        <sz val="9"/>
        <color rgb="FF013248"/>
        <rFont val="Arial"/>
        <family val="2"/>
      </rPr>
      <t xml:space="preserve">Currencies: </t>
    </r>
    <r>
      <rPr>
        <sz val="9"/>
        <color rgb="FF013248"/>
        <rFont val="Arial"/>
        <family val="2"/>
      </rPr>
      <t xml:space="preserve">all financial figures are quoted in U.S. dollars unless otherwise noted. 
</t>
    </r>
    <r>
      <rPr>
        <b/>
        <sz val="9"/>
        <color rgb="FF013248"/>
        <rFont val="Arial"/>
        <family val="2"/>
      </rPr>
      <t>Rounding:</t>
    </r>
    <r>
      <rPr>
        <sz val="9"/>
        <color rgb="FF013248"/>
        <rFont val="Arial"/>
        <family val="2"/>
      </rPr>
      <t xml:space="preserve"> some figures and percentages may not add up to the total figure or 100 percent due to rounding.
</t>
    </r>
    <r>
      <rPr>
        <b/>
        <sz val="9"/>
        <color rgb="FF013248"/>
        <rFont val="Arial"/>
        <family val="2"/>
      </rPr>
      <t>Definition of local:</t>
    </r>
    <r>
      <rPr>
        <sz val="9"/>
        <color rgb="FF013248"/>
        <rFont val="Arial"/>
        <family val="2"/>
      </rPr>
      <t xml:space="preserve"> Throughout this report, we use the term “local” to refer to communities, suppliers, and workers. We have defined our geographic scope using an inside-out approach that relate to the administrative boundaries surrounding our operations. For our sites, “local – community level” is defined as people, suppliers and workers from communities adjacent or near to our operations, “local - national” as those nationals or companies registered in the country from where the mine is located, but are not adjacent or near our operations. Nationals is defined as the sum of local-community and local-national country natives.</t>
    </r>
  </si>
  <si>
    <r>
      <rPr>
        <b/>
        <sz val="9"/>
        <color rgb="FF013248"/>
        <rFont val="Arial"/>
        <family val="2"/>
      </rPr>
      <t xml:space="preserve">Financial and investors relations. </t>
    </r>
    <r>
      <rPr>
        <sz val="9"/>
        <color rgb="FF013248"/>
        <rFont val="Arial"/>
        <family val="2"/>
      </rPr>
      <t xml:space="preserve">For additional information about Calibre's investors relations presentations, financial filings and communications, visit our website at https://www.calibremining.com/investors/investing-highlights/ 
</t>
    </r>
    <r>
      <rPr>
        <b/>
        <sz val="9"/>
        <color rgb="FF013248"/>
        <rFont val="Arial"/>
        <family val="2"/>
      </rPr>
      <t xml:space="preserve">
Board, executive compensation, related details.</t>
    </r>
    <r>
      <rPr>
        <sz val="9"/>
        <color rgb="FF013248"/>
        <rFont val="Arial"/>
        <family val="2"/>
      </rPr>
      <t xml:space="preserve"> More information on director and executive compensation and process for communicating with the Board is reported in our AGM Materials section of our website at https://www.calibremining.com/investors/agm-materials/
</t>
    </r>
    <r>
      <rPr>
        <b/>
        <sz val="9"/>
        <color rgb="FF013248"/>
        <rFont val="Arial"/>
        <family val="2"/>
      </rPr>
      <t xml:space="preserve">Governance and ethics. </t>
    </r>
    <r>
      <rPr>
        <sz val="9"/>
        <color rgb="FF013248"/>
        <rFont val="Arial"/>
        <family val="2"/>
      </rPr>
      <t xml:space="preserve">Details of our Corporate Governance Policies and Procedures Manuals, including our Code of Business Conduct and Ethics, can be found at our website at https://www.calibremining.com/corporate/corporate-governance/
</t>
    </r>
    <r>
      <rPr>
        <b/>
        <sz val="9"/>
        <color rgb="FF013248"/>
        <rFont val="Arial"/>
        <family val="2"/>
      </rPr>
      <t xml:space="preserve">
Sustainability reporting suite. </t>
    </r>
    <r>
      <rPr>
        <sz val="9"/>
        <color rgb="FF013248"/>
        <rFont val="Arial"/>
        <family val="2"/>
      </rPr>
      <t xml:space="preserve">The 2022 ESG Data Tables are part of a larger suite of our sustainability disclosures, including our Annual Sustainability Reports, and our Annual Progress Reports on our Progress towards RGMPs Conformance, all available in our website at https://www.calibremining.com/esg/overview/ 
</t>
    </r>
    <r>
      <rPr>
        <b/>
        <sz val="9"/>
        <color rgb="FF013248"/>
        <rFont val="Arial"/>
        <family val="2"/>
      </rPr>
      <t xml:space="preserve">
News. </t>
    </r>
    <r>
      <rPr>
        <sz val="9"/>
        <color rgb="FF013248"/>
        <rFont val="Arial"/>
        <family val="2"/>
      </rPr>
      <t xml:space="preserve">Press releases are posted in our News section available in our website at https://www.calibremining.com/news/
 </t>
    </r>
  </si>
  <si>
    <t>- Mercury pollution
- Dumping of tailings into river systems
- Sediment control
- Occupational health and safety
- Underemployment/informal work 
- Child labor</t>
  </si>
  <si>
    <t>- Mercury pollution
- Dumping of tailings into river systems
- Sediment control 
- Occupational health and safety
- Underemployment/ informal work
- Child labor
- Land access
- Conflict with security teams
- Felling of trees and damage to local fauna
- Damage to road infrastructure</t>
  </si>
  <si>
    <t>- Abuses by security forces
- Air pollution
- Community fatalities and serious injuries
- Community health problems
- Contractor behaviour and performance
- Damage to local livelihoods 
- Forced displacement
- Loss of wildlife
- Road and traffic impacts due to enhanced operations
- Violations of Indigenous People's rights
- Water pollution</t>
  </si>
  <si>
    <r>
      <rPr>
        <b/>
        <sz val="9"/>
        <color rgb="FF013248"/>
        <rFont val="Arial"/>
        <family val="2"/>
      </rPr>
      <t>Notes</t>
    </r>
    <r>
      <rPr>
        <sz val="9"/>
        <color rgb="FF013248"/>
        <rFont val="Arial"/>
        <family val="2"/>
      </rPr>
      <t xml:space="preserve">:
(1) ‘Adjacent’ refers to land physically contiguous to, or influenced by, the operating site. For the purposes of this disclosure, “near” is defined as within 5 kilometers of the recognized boundary of an area considered to be indigenous land to the location of the operating site. No Indigenous Territories within 5 kilometers of any Calibre operation. Closest indigenous territories projects are (i) the Mayangna Sauni Arungka, 10.5km away from our EBP Development Project, and (ii) the Duckwater Shoshone Tribe, over 30km away from our Pan Mine
(2) Formal agreements refer to written agreements or other agreements that are recognized by the appointed leaders of the community (e.g., formal benefit agreements or community development plans). </t>
    </r>
  </si>
  <si>
    <r>
      <rPr>
        <b/>
        <sz val="9"/>
        <color rgb="FF013248"/>
        <rFont val="Arial"/>
        <family val="2"/>
      </rPr>
      <t xml:space="preserve">Note: </t>
    </r>
    <r>
      <rPr>
        <sz val="9"/>
        <color rgb="FF013248"/>
        <rFont val="Arial"/>
        <family val="2"/>
      </rPr>
      <t xml:space="preserve">
(1) Significant social disputes are defined as grievances that cannot be resolved jointly within a reasonable time frame and/or require significant financial resources to resolve.</t>
    </r>
  </si>
  <si>
    <t xml:space="preserve">-     Potential for corruption related to commercial relations, and links to community members and/or artisanal mining.
-     Evidence of money laundering, fraud and visa restrictions by the US departments found during screening of potential suppliers and/or relatives of potential suppliers. </t>
  </si>
  <si>
    <r>
      <rPr>
        <b/>
        <sz val="9"/>
        <color rgb="FF013248"/>
        <rFont val="Arial"/>
        <family val="2"/>
      </rPr>
      <t xml:space="preserve">Note: </t>
    </r>
    <r>
      <rPr>
        <sz val="9"/>
        <color rgb="FF013248"/>
        <rFont val="Arial"/>
        <family val="2"/>
      </rPr>
      <t xml:space="preserve">
In some cases, regional (e.g. Managua, Nicaragua) or corporate offices (Vancouver, Canada) staff may be included in the data reported, based on the disclosure requirements. These exceptions are noted where appropriate. The corporate chart of Calibre’s material subsidiaries, together with the jurisdiction of incorporation of each company and the percentage of voting securities beneficially owned, controlled or directed, are listed in the Company’s Annual Information Form for the year ended 31 December 2021 available at https://www.calibremining.com/site/assets/files/7059/calibre_mining_aif_december_31_2021_final.pdf </t>
    </r>
  </si>
  <si>
    <t>Consultation process at Riscos de Oro</t>
  </si>
  <si>
    <t>Extractive Sector  Transparency Measures Act Reports</t>
  </si>
  <si>
    <t>Safety Time-Out</t>
  </si>
  <si>
    <t>Partnership with the Centre for an Understanding with Nature (CEN) for community resilience</t>
  </si>
  <si>
    <t>ASM Engagement Model</t>
  </si>
  <si>
    <t>Workshop with the Mayangna Nation</t>
  </si>
  <si>
    <t>Company press releases available in our website</t>
  </si>
  <si>
    <t>Participation in the Mining Chamber's Annual Fair</t>
  </si>
  <si>
    <t>Conference calls available in our website</t>
  </si>
  <si>
    <r>
      <rPr>
        <b/>
        <sz val="9"/>
        <color rgb="FF013248"/>
        <rFont val="Arial"/>
        <family val="2"/>
      </rPr>
      <t>Note</t>
    </r>
    <r>
      <rPr>
        <sz val="9"/>
        <color rgb="FF013248"/>
        <rFont val="Arial"/>
        <family val="2"/>
      </rPr>
      <t>: 
(1) Only change to material topics identified in our 2021 Sustainability Report (available in our website at https://www.calibremining.com/esg/overview/) is the move of "Tax Transparency" from an issue reported within a section to a section in itself in order to expand our disclosures aligned with GRI Standard 207: Tax 2019.
(2) Legends: A= Applicable for all sites; Ni=Applicable only to Nicaraguan assets</t>
    </r>
  </si>
  <si>
    <r>
      <rPr>
        <b/>
        <sz val="9"/>
        <color rgb="FF013248"/>
        <rFont val="Arial"/>
        <family val="2"/>
      </rPr>
      <t>Note:</t>
    </r>
    <r>
      <rPr>
        <sz val="9"/>
        <color rgb="FF013248"/>
        <rFont val="Arial"/>
        <family val="2"/>
      </rPr>
      <t xml:space="preserve">
(1) A 2016 study from the Artisanal Gold Council on the Use and Release of Mercury by ASM in Nicaragua estimated that approximately 3.5oz of mercury are used per metric ton of ore processed in artisanal mills, and that a minimum average throughput of ~1 L/minute, or ~3600 L of water per day (4.32m3/metric ton) are used by rastras in Chontales, the district where La Libertad Mine is located.</t>
    </r>
  </si>
  <si>
    <r>
      <rPr>
        <b/>
        <sz val="9"/>
        <color rgb="FF013248"/>
        <rFont val="Arial"/>
        <family val="2"/>
      </rPr>
      <t>Note:</t>
    </r>
    <r>
      <rPr>
        <sz val="9"/>
        <color rgb="FF013248"/>
        <rFont val="Arial"/>
        <family val="2"/>
      </rPr>
      <t xml:space="preserve">
(1) Refers to area of land disturbed by our operations</t>
    </r>
  </si>
  <si>
    <r>
      <rPr>
        <b/>
        <sz val="9"/>
        <color rgb="FF013248"/>
        <rFont val="Arial"/>
        <family val="2"/>
      </rPr>
      <t>Note:</t>
    </r>
    <r>
      <rPr>
        <sz val="9"/>
        <color rgb="FF013248"/>
        <rFont val="Arial"/>
        <family val="2"/>
      </rPr>
      <t xml:space="preserve"> 
(1) Refers to areas voluntarily restored or protected by Calibre for biodiversity conservation. Not related to areas reclaimed after disturbance.</t>
    </r>
  </si>
  <si>
    <r>
      <rPr>
        <b/>
        <sz val="9"/>
        <color rgb="FF013248"/>
        <rFont val="Arial"/>
        <family val="2"/>
      </rPr>
      <t xml:space="preserve">Note: </t>
    </r>
    <r>
      <rPr>
        <sz val="9"/>
        <color rgb="FF013248"/>
        <rFont val="Arial"/>
        <family val="2"/>
      </rPr>
      <t xml:space="preserve">
Nicaraguan legislation does not allow mining activities to be carried out in protected areas or with endangered animals. Prior to each project, a biodiversity baseline is carried out where species are sampled. If any vulnerable or endangered species are identified, the EIA must include preventive measures that must be reviewed and approved by the competent authority (MARENA).  Additionally, Calibre has an environmental policy that includes respect for and protection of biodiversity, so if any vulnerable species are found, measures will be taken to guarantee their protection.
At Pan Mine, a golden eagle conservation plan in place to protect nests and promote offspring development-this includes annual ground and aerial surveys-.  Sage grouse noise mitigation program in place during breeding season to minimize impacts to Leks.  Bird nests identified and/or removed to any excavation activity.  </t>
    </r>
  </si>
  <si>
    <r>
      <rPr>
        <b/>
        <sz val="9"/>
        <color rgb="FF013248"/>
        <rFont val="Arial"/>
        <family val="2"/>
      </rPr>
      <t>Note:</t>
    </r>
    <r>
      <rPr>
        <sz val="9"/>
        <color rgb="FF013248"/>
        <rFont val="Arial"/>
        <family val="2"/>
      </rPr>
      <t xml:space="preserve">
(1) Restatement of Information: Correct information for Opening and Closing Balances for 2020 and 2021 included, as in previous reports only the pits' perimeters were being considered rather than its total area. Adjustments were also made to the formula in the addition of areas of the waste dumps.
(2) Refers to areas that are in the process of closure, but are not considered fully restored to be classified as "restored habitat".</t>
    </r>
  </si>
  <si>
    <r>
      <rPr>
        <b/>
        <sz val="9"/>
        <color rgb="FF013248"/>
        <rFont val="Arial"/>
        <family val="2"/>
      </rPr>
      <t>Note:</t>
    </r>
    <r>
      <rPr>
        <sz val="9"/>
        <color rgb="FF013248"/>
        <rFont val="Arial"/>
        <family val="2"/>
      </rPr>
      <t xml:space="preserve">
(1) Refers to preliminary environmental closure plans required by national law.</t>
    </r>
  </si>
  <si>
    <r>
      <rPr>
        <b/>
        <sz val="9"/>
        <color rgb="FF013248"/>
        <rFont val="Arial"/>
        <family val="2"/>
      </rPr>
      <t>Note</t>
    </r>
    <r>
      <rPr>
        <sz val="9"/>
        <color rgb="FF013248"/>
        <rFont val="Arial"/>
        <family val="2"/>
      </rPr>
      <t>: 
Information on our Board composition, skills, and experience as well as other public directorships can be found in our Notice of Annual General Meeting and Information Circular of May 6, 2022, available at Calibre's website (https://www.calibremining.com/site/assets/files/7078/20220512_cxb_management_information_circular_-_final.pdf), or under  the Company’s SEDAR profile at www.sedar.com.</t>
    </r>
  </si>
  <si>
    <t>Mine Safety and Health Administration (MSHA)</t>
  </si>
  <si>
    <r>
      <rPr>
        <b/>
        <sz val="9"/>
        <color rgb="FF013248"/>
        <rFont val="Arial"/>
        <family val="2"/>
      </rPr>
      <t>Notes:</t>
    </r>
    <r>
      <rPr>
        <sz val="9"/>
        <color rgb="FF013248"/>
        <rFont val="Arial"/>
        <family val="2"/>
      </rPr>
      <t xml:space="preserve">
(1) Communication of policies through introductory talks, email and written request for acknowledgment
(2) Training topics included compliance procedures for suppliers; compliance procedures for employees; and Induction on Prevention of Money Laundering, Financing of Terrorism, and Financing of Weapons of Mass Destruction Proliferation
(3) As per our Code of Business Conduct and Ethics, all representatives are expected to "comply with laws of countries in which the Company operates, applicable governmental laws, rules and regulations, and specifically those requirements related to the Canadian regulations related to Canadian Foreign Corrupt Practices Act (FCPA), Canada’s Corruption of Foreign Public Officials Act (CFPOA), and all other applicable laws and regulations in Canada and Nicaragua."
(4) Executive Team included in site-level Vice-presidents category.</t>
    </r>
  </si>
  <si>
    <r>
      <rPr>
        <b/>
        <sz val="9"/>
        <color rgb="FF013248"/>
        <rFont val="Arial"/>
        <family val="2"/>
      </rPr>
      <t>Note:</t>
    </r>
    <r>
      <rPr>
        <sz val="9"/>
        <color rgb="FF013248"/>
        <rFont val="Arial"/>
        <family val="2"/>
      </rPr>
      <t xml:space="preserve">
(1) Includes employees and contractors</t>
    </r>
  </si>
  <si>
    <r>
      <rPr>
        <b/>
        <sz val="9"/>
        <color rgb="FF013248"/>
        <rFont val="Arial"/>
        <family val="2"/>
      </rPr>
      <t>Note:</t>
    </r>
    <r>
      <rPr>
        <sz val="9"/>
        <color rgb="FF013248"/>
        <rFont val="Arial"/>
        <family val="2"/>
      </rPr>
      <t xml:space="preserve">
(1) No audit conducted during the reporting period.</t>
    </r>
  </si>
  <si>
    <r>
      <rPr>
        <b/>
        <sz val="9"/>
        <color rgb="FF013248"/>
        <rFont val="Arial"/>
        <family val="2"/>
      </rPr>
      <t>Notes:</t>
    </r>
    <r>
      <rPr>
        <sz val="9"/>
        <color rgb="FF013248"/>
        <rFont val="Arial"/>
        <family val="2"/>
      </rPr>
      <t xml:space="preserve">
(1) High consequence work-related injury rate is the number of high consequence work-related injuries x 200,000 hours / total hours worked
(2) Recordable work-related injury rate is the number of recordable work-related injuries x 200,000 hours / total hours worked
(3) A near miss is defined as an unplanned incident in which no property or environmental damage or personal injury occurred, but where damage or personal injury easily could have occurred but for a slight circumstantial shift.</t>
    </r>
  </si>
  <si>
    <r>
      <rPr>
        <b/>
        <sz val="9"/>
        <color rgb="FF013248"/>
        <rFont val="Arial"/>
        <family val="2"/>
      </rPr>
      <t>Note:</t>
    </r>
    <r>
      <rPr>
        <sz val="9"/>
        <color rgb="FF013248"/>
        <rFont val="Arial"/>
        <family val="2"/>
      </rPr>
      <t xml:space="preserve">
(1) Information unavailable for Nicaragua. Data under construction.</t>
    </r>
  </si>
  <si>
    <r>
      <rPr>
        <b/>
        <sz val="9"/>
        <color rgb="FF013248"/>
        <rFont val="Arial"/>
        <family val="2"/>
      </rPr>
      <t>Note:</t>
    </r>
    <r>
      <rPr>
        <sz val="9"/>
        <color rgb="FF013248"/>
        <rFont val="Arial"/>
        <family val="2"/>
      </rPr>
      <t xml:space="preserve">
(1) Includes data for employees and contractors whenever available.</t>
    </r>
  </si>
  <si>
    <r>
      <rPr>
        <b/>
        <sz val="9"/>
        <color rgb="FF013248"/>
        <rFont val="Arial"/>
        <family val="2"/>
      </rPr>
      <t>Notes:</t>
    </r>
    <r>
      <rPr>
        <sz val="9"/>
        <color rgb="FF013248"/>
        <rFont val="Arial"/>
        <family val="2"/>
      </rPr>
      <t xml:space="preserve">
The reporting boundary for this disclosure falls outside of the report's scope and includes the entirety of Calibre's employees (operations, exploration, regional and corporate offices).
Significant 2022 change reflect the acquisition of Fiore workforce.
(1) Calibre does not have non-guaranteed hours or part-time employees. </t>
    </r>
  </si>
  <si>
    <r>
      <rPr>
        <b/>
        <sz val="9"/>
        <color rgb="FF013248"/>
        <rFont val="Arial"/>
        <family val="2"/>
      </rPr>
      <t>Notes:</t>
    </r>
    <r>
      <rPr>
        <sz val="9"/>
        <color rgb="FF013248"/>
        <rFont val="Arial"/>
        <family val="2"/>
      </rPr>
      <t xml:space="preserve">
The reporting boundary for this disclosure falls outside of the report's scope and includes the entirety of Calibre's employees (operations, exploration, regional and corporate offices)
(1) Local – community is defined as people, suppliers and employees from communities immediately adjacent to our operations.
(2) Local – country is defined as those people, suppliers and employees from the country where the mine is located but not necessarily from communities immediately adjacent to our operations.
(3) Nationals is defined as the sum of both local-community and local-country.</t>
    </r>
  </si>
  <si>
    <r>
      <rPr>
        <b/>
        <sz val="9"/>
        <color rgb="FF013248"/>
        <rFont val="Arial"/>
        <family val="2"/>
      </rPr>
      <t>Notes:</t>
    </r>
    <r>
      <rPr>
        <sz val="9"/>
        <color rgb="FF013248"/>
        <rFont val="Arial"/>
        <family val="2"/>
      </rPr>
      <t xml:space="preserve">
The reporting boundary for this disclosure falls outside of the report's scope and includes the entirety of Calibre's employees (operations, exploration, regional and corporate offices)
(1) Local – community is defined as people, suppliers and employees from communities immediately adjacent to our operations.
(2) Local – country is defined as those people, suppliers and employees from the country where the mine is located but not necessarily from communities immediately adjacent to our operations.</t>
    </r>
  </si>
  <si>
    <r>
      <rPr>
        <b/>
        <sz val="9"/>
        <color rgb="FF013248"/>
        <rFont val="Arial"/>
        <family val="2"/>
      </rPr>
      <t>Notes:</t>
    </r>
    <r>
      <rPr>
        <sz val="9"/>
        <color rgb="FF013248"/>
        <rFont val="Arial"/>
        <family val="2"/>
      </rPr>
      <t xml:space="preserve"> 
(1) Rates calculated in relation to average number of permanent employees for Nicaragua FY2022 (e.g. 1,153)
(2) The reporting boundary for this disclosure falls outside of the report's scope and includes the entirety of Calibre's employees (operations, exploration, regional and corporate offices).
(3) Local – community is defined as people, suppliers and employees from communities immediately adjacent to our operations.
(4) Local – country is defined as those people, suppliers and employees from the country where the mine is located but not necessarily from communities immediately adjacent to our operations.
(5) Nationals is defined as the sum of both local-community and local-country.</t>
    </r>
  </si>
  <si>
    <r>
      <rPr>
        <b/>
        <sz val="9"/>
        <color rgb="FF013248"/>
        <rFont val="Arial"/>
        <family val="2"/>
      </rPr>
      <t>Notes:</t>
    </r>
    <r>
      <rPr>
        <sz val="9"/>
        <color rgb="FF013248"/>
        <rFont val="Arial"/>
        <family val="2"/>
      </rPr>
      <t xml:space="preserve">
(1) Restatement of information regarding number of women and men hired in 2020.
(2) Local – community is defined as people, suppliers and employees from communities immediately adjacent to our operations.
(3) Local – country is defined as those people, suppliers and employees from the country where the mine is located but not necessarily from communities immediately adjacent to our operations.</t>
    </r>
  </si>
  <si>
    <r>
      <rPr>
        <b/>
        <sz val="9"/>
        <color rgb="FF013248"/>
        <rFont val="Arial"/>
        <family val="2"/>
      </rPr>
      <t>Notes:</t>
    </r>
    <r>
      <rPr>
        <sz val="9"/>
        <color rgb="FF013248"/>
        <rFont val="Arial"/>
        <family val="2"/>
      </rPr>
      <t xml:space="preserve">
(1) Local – community is defined as people, suppliers and employees from communities immediately adjacent to our operations.
(2) Local – country is defined as those people, suppliers and employees from the country where the mine is located but not necessarily from communities immediately adjacent to our operations.</t>
    </r>
  </si>
  <si>
    <r>
      <rPr>
        <b/>
        <sz val="9"/>
        <color rgb="FF013248"/>
        <rFont val="Arial"/>
        <family val="2"/>
      </rPr>
      <t>Notes:</t>
    </r>
    <r>
      <rPr>
        <sz val="9"/>
        <color rgb="FF013248"/>
        <rFont val="Arial"/>
        <family val="2"/>
      </rPr>
      <t xml:space="preserve">
(1) No woman held a role within this employee category
(2) We have defined basic salary as the average minimum salary paid for that category. </t>
    </r>
  </si>
  <si>
    <r>
      <rPr>
        <b/>
        <sz val="9"/>
        <color rgb="FF013248"/>
        <rFont val="Arial"/>
        <family val="2"/>
      </rPr>
      <t>Note:</t>
    </r>
    <r>
      <rPr>
        <sz val="9"/>
        <color rgb="FF013248"/>
        <rFont val="Arial"/>
        <family val="2"/>
      </rPr>
      <t xml:space="preserve">
(1) All employees covered under collective bargaining agreements are Nicaraguan and belong to either Limon or Libertad complex local payrolls. Employees not covered by collective agreements include those from the Managua, Pavon and EBP offices.</t>
    </r>
  </si>
  <si>
    <r>
      <t>•</t>
    </r>
    <r>
      <rPr>
        <sz val="7"/>
        <color rgb="FF013248"/>
        <rFont val="Arial"/>
        <family val="2"/>
      </rPr>
      <t xml:space="preserve">         </t>
    </r>
    <r>
      <rPr>
        <sz val="9"/>
        <color rgb="FF013248"/>
        <rFont val="Arial"/>
        <family val="2"/>
      </rPr>
      <t xml:space="preserve">Compensation framework was developed for land areas, housing areas, external structures for non-housing use, trees and crops, and transfer of salvage or replacement material. </t>
    </r>
  </si>
  <si>
    <r>
      <t>•</t>
    </r>
    <r>
      <rPr>
        <sz val="7"/>
        <color rgb="FF013248"/>
        <rFont val="Arial"/>
        <family val="2"/>
      </rPr>
      <t xml:space="preserve">         </t>
    </r>
    <r>
      <rPr>
        <sz val="9"/>
        <color rgb="FF013248"/>
        <rFont val="Arial"/>
        <family val="2"/>
      </rPr>
      <t>A program was created to benefit vulnerable people.</t>
    </r>
  </si>
  <si>
    <r>
      <t>•</t>
    </r>
    <r>
      <rPr>
        <sz val="7"/>
        <color rgb="FF013248"/>
        <rFont val="Arial"/>
        <family val="2"/>
      </rPr>
      <t xml:space="preserve">         </t>
    </r>
    <r>
      <rPr>
        <sz val="9"/>
        <color rgb="FF013248"/>
        <rFont val="Arial"/>
        <family val="2"/>
      </rPr>
      <t>Seed capital was provided to vulnerable people to start small business that would allow them to adapt to urbanization.</t>
    </r>
  </si>
  <si>
    <r>
      <t>•</t>
    </r>
    <r>
      <rPr>
        <sz val="7"/>
        <color rgb="FF013248"/>
        <rFont val="Arial"/>
        <family val="2"/>
      </rPr>
      <t xml:space="preserve">         </t>
    </r>
    <r>
      <rPr>
        <sz val="9"/>
        <color rgb="FF013248"/>
        <rFont val="Arial"/>
        <family val="2"/>
      </rPr>
      <t xml:space="preserve">Community development plan executed. </t>
    </r>
  </si>
  <si>
    <r>
      <rPr>
        <b/>
        <sz val="9"/>
        <color rgb="FF013248"/>
        <rFont val="Arial"/>
        <family val="2"/>
      </rPr>
      <t>Note:</t>
    </r>
    <r>
      <rPr>
        <sz val="9"/>
        <color rgb="FF013248"/>
        <rFont val="Arial"/>
        <family val="2"/>
      </rPr>
      <t xml:space="preserve">
Criteria used: Zero negative news related to environmental issues and abuses associated with human rights, such as child labor , forced labor, degrading treatment, torture and widespread sexual violence, support to armed groups, money extortion, corruption, bribery, money laundering, and tax evasion.. When there is a finding, authorization to continue the awarding process is requested to the highest authority at national level.</t>
    </r>
  </si>
  <si>
    <r>
      <rPr>
        <b/>
        <sz val="9"/>
        <color rgb="FF013248"/>
        <rFont val="Arial"/>
        <family val="2"/>
      </rPr>
      <t>Note:</t>
    </r>
    <r>
      <rPr>
        <sz val="9"/>
        <color rgb="FF013248"/>
        <rFont val="Arial"/>
        <family val="2"/>
      </rPr>
      <t xml:space="preserve">
(1) 100% of our active suppliers (915) in Nicaragua completed a supplier profile and were screened using environmental, social, and governance criteria. If a potential supplier was found to have actual or potential negative impacts on society or the environment during the procurement process, no commercial relation was established.</t>
    </r>
  </si>
  <si>
    <r>
      <rPr>
        <b/>
        <sz val="9"/>
        <color rgb="FF013248"/>
        <rFont val="Arial"/>
        <family val="2"/>
      </rPr>
      <t xml:space="preserve">Note: </t>
    </r>
    <r>
      <rPr>
        <sz val="9"/>
        <color rgb="FF013248"/>
        <rFont val="Arial"/>
        <family val="2"/>
      </rPr>
      <t xml:space="preserve">
Currently for Nicaragua, only commitments of  $100K require a legal contract, those below threshold only have contracts if the supplier has no tax identification, given that currently their supports are the Master Services Agreements.</t>
    </r>
  </si>
  <si>
    <r>
      <rPr>
        <b/>
        <sz val="9"/>
        <color rgb="FF013248"/>
        <rFont val="Arial"/>
        <family val="2"/>
      </rPr>
      <t>Note:</t>
    </r>
    <r>
      <rPr>
        <sz val="9"/>
        <color rgb="FF013248"/>
        <rFont val="Arial"/>
        <family val="2"/>
      </rPr>
      <t xml:space="preserve">
1. Refers to number of participations, e.g.: a person may have received more than one of the trainings offered in the annual training plan. </t>
    </r>
  </si>
  <si>
    <r>
      <rPr>
        <b/>
        <sz val="9"/>
        <color rgb="FF013248"/>
        <rFont val="Arial"/>
        <family val="2"/>
      </rPr>
      <t>Notes:</t>
    </r>
    <r>
      <rPr>
        <sz val="9"/>
        <color rgb="FF013248"/>
        <rFont val="Arial"/>
        <family val="2"/>
      </rPr>
      <t xml:space="preserve">
(1) Refers to private security providers (contractors)
(2) Training requirements apply to third-party organizations providing security personnel and are included in the calculation.</t>
    </r>
  </si>
  <si>
    <r>
      <rPr>
        <b/>
        <sz val="9"/>
        <color rgb="FF013248"/>
        <rFont val="Arial"/>
        <family val="2"/>
      </rPr>
      <t>Notes:</t>
    </r>
    <r>
      <rPr>
        <sz val="9"/>
        <color rgb="FF013248"/>
        <rFont val="Arial"/>
        <family val="2"/>
      </rPr>
      <t xml:space="preserve">
(1) Revenues; e.g. net sales plus revenues from financial investments .and sales of assets
(2) Cash payments made outside the organization for materials, product components, facilities, and services purchased.
(3) Total payroll (including employee salaries and amounts paid to government institutions on behalf of employees) plus total benefits (excluding training, costs of protective equipment or other cost items directly related to the employee’s job function).
(4) Dividends to all shareholders, plus interest payments made to providers of loans.
(5) Taxes plus related penalties paid at the international, national, and local levels.
(6) Voluntary donations plus investment of funds in the broader community where the target beneficiaries are external to the organization. Community investments exclude legal and commercial activities or where the purpose of the investment is exclusively commercial. Community investments also exclude any infrastructure investment that is driven primarily by core business needs, or to facilitate the business operations of an organization.
(7) Direct economic value generated’ less ‘economic value distributed’.</t>
    </r>
  </si>
  <si>
    <r>
      <rPr>
        <b/>
        <sz val="9"/>
        <color rgb="FF013248"/>
        <rFont val="Arial"/>
        <family val="2"/>
      </rPr>
      <t xml:space="preserve">Note: </t>
    </r>
    <r>
      <rPr>
        <sz val="9"/>
        <color rgb="FF013248"/>
        <rFont val="Arial"/>
        <family val="2"/>
      </rPr>
      <t xml:space="preserve">
(1) "Significant" investments or services defined as those producing a positive change on local communities' human rights, however modest the amount of the investment.</t>
    </r>
  </si>
  <si>
    <t xml:space="preserve">- Calibre focuses strongly on local hiring, with demonstrable results: 95% of our employees are Nicaraguan nationals, of whom 80% are from local communities adjacent to or near our operations.
- In 2022, Calibre employed 1,157 people directly and supported an additional 2,372 contractor jobs. This contributed to the 26% increase in mining sector employees (from 4,498 to 5,663 contributors to Nicaragua’s social security system) since 2019, when Calibre acquired its operating mines in Nicaragua.
According to the WGC [link: https://www.gold.org/esg/the-social-and-economic-contribution-of-gold-mining], “every job in the gold mining industry supports six more, or close to ten more if induced jobs are included”. Therefore, Calibre’s presence generated ~5,293.5 induced jobs in the Nicaraguan economy.  </t>
  </si>
  <si>
    <r>
      <rPr>
        <b/>
        <sz val="9"/>
        <color rgb="FF013248"/>
        <rFont val="Arial"/>
        <family val="2"/>
      </rPr>
      <t xml:space="preserve">Note: </t>
    </r>
    <r>
      <rPr>
        <sz val="9"/>
        <color rgb="FF013248"/>
        <rFont val="Arial"/>
        <family val="2"/>
      </rPr>
      <t xml:space="preserve">
(1) Data referenced from Nicaragua’s Central Bank [link: https://www.bcn.gob.ni/estadisticas] </t>
    </r>
  </si>
  <si>
    <r>
      <rPr>
        <b/>
        <sz val="9"/>
        <color rgb="FF013248"/>
        <rFont val="Arial"/>
        <family val="2"/>
      </rPr>
      <t>Note:</t>
    </r>
    <r>
      <rPr>
        <sz val="9"/>
        <color rgb="FF013248"/>
        <rFont val="Arial"/>
        <family val="2"/>
      </rPr>
      <t xml:space="preserve">
(1) Local – community is defined as people, suppliers and employees from communities immediately adjacent to our operations.
(2) Local – country is defined as those people, suppliers and employees from the country where the mine is located but not necessarily from communities immediately adjacent to our operations.</t>
    </r>
  </si>
  <si>
    <r>
      <rPr>
        <b/>
        <sz val="9"/>
        <color rgb="FF013248"/>
        <rFont val="Arial"/>
        <family val="2"/>
      </rPr>
      <t>Notes:</t>
    </r>
    <r>
      <rPr>
        <sz val="9"/>
        <color rgb="FF013248"/>
        <rFont val="Arial"/>
        <family val="2"/>
      </rPr>
      <t xml:space="preserve">
(1) These entities include permanent establishments and dormant entities
(2) Includes corporate income tax accrued in the time period reported and excludes deferred corporate income tax and provisions for uncertain tax positions. 
(3) Most recent audited consolidated financial statements or financial information filed on public record</t>
    </r>
  </si>
  <si>
    <r>
      <rPr>
        <b/>
        <sz val="9"/>
        <color rgb="FF013248"/>
        <rFont val="Arial"/>
        <family val="2"/>
      </rPr>
      <t>Notes:</t>
    </r>
    <r>
      <rPr>
        <sz val="9"/>
        <color rgb="FF013248"/>
        <rFont val="Arial"/>
        <family val="2"/>
      </rPr>
      <t xml:space="preserve">
(1) In accordance with the United States Department of Energy and Environmental Protection Agency, Pan Mine stores generated mercury on site. This follows storage standards for general hazardous waste storage as prescribed in the Resource Recovery and Conservation Act, as well as specific guidelines in the Toxic Substances Control Act (TSCA) Reform Act dually promulgated by DOE and EPA. This indicates that Pan Mine will ship mercury to a designated DOE facility when it is constructed and able to accept the mercury. Until such a time, Pan Mine may store mercury it generates on site in suitable, secured containers. 
(2) No acid-generating or metal leaching waste rock generated at Calibre sites in 2020, 2021 or 2022.</t>
    </r>
  </si>
  <si>
    <r>
      <rPr>
        <b/>
        <sz val="9"/>
        <color rgb="FF013248"/>
        <rFont val="Arial"/>
        <family val="2"/>
      </rPr>
      <t>Notes:</t>
    </r>
    <r>
      <rPr>
        <sz val="9"/>
        <color rgb="FF013248"/>
        <rFont val="Arial"/>
        <family val="2"/>
      </rPr>
      <t xml:space="preserve">
(1)      Humid, Semi-arid, Arid, Moderate precipitation, Low to moderate precipitation, Moderate precipitation with a distinct dry season.
(2)      Groundwater (GW), Surface Water (SW), Municipal/Third-party Water (MW).
(3)      Nicaragua does not have water stress areas.</t>
    </r>
  </si>
  <si>
    <r>
      <rPr>
        <b/>
        <sz val="9"/>
        <color rgb="FF013248"/>
        <rFont val="Arial"/>
        <family val="2"/>
      </rPr>
      <t>Notes:</t>
    </r>
    <r>
      <rPr>
        <sz val="9"/>
        <color rgb="FF013248"/>
        <rFont val="Arial"/>
        <family val="2"/>
      </rPr>
      <t xml:space="preserve">
(1) Sum of all water drawn from surface water, groundwater, seawater, or a third party for any use over the course of the reporting period
(2) Water that occurs naturally on the Earth’s surface in ice sheets, ice caps, glaciers, icebergs, bogs, ponds, lakes, rivers, and streams. Includes collected or harvested rainwater
(3) Water with concentration of total dissolved solids equal to or below 1,000 mg/L
(4) Water that is being held in, and that can be recovered from, an underground formation
(5) Water in a sea or in an ocean
(6) Water that enters an organization’s boundary as a result of extraction (e.g., crude oil), processing (e.g., sugar cane crushing), or use of any raw material, and has to consequently be managed by the organization
(7) Municipal water suppliers and municipal wastewater treatment plants, public or private utilities, and other organizations involved in the provision, transport, treatment, disposal, or use of water and effluent
(8) Publicly available and credible tools for assessing areas with water stress include the World Resources Institute ‘Aqueduct Water Risk Atlas,’ (https://www.wri.org/initiatives/aqueduct) and the WWF ‘Water Risk Filter’.</t>
    </r>
  </si>
  <si>
    <r>
      <rPr>
        <b/>
        <sz val="9"/>
        <color rgb="FF013248"/>
        <rFont val="Arial"/>
        <family val="2"/>
      </rPr>
      <t xml:space="preserve">Notes:
</t>
    </r>
    <r>
      <rPr>
        <sz val="9"/>
        <color rgb="FF013248"/>
        <rFont val="Arial"/>
        <family val="2"/>
      </rPr>
      <t>Our Limon Complex discharges into watershed 58 of the Tecomapa River and our Libertad Complex to watershed 61 of the Escondido River.
(1) Sum of effluents, used water, and unused water released to surface water, groundwater, seawater, or a third party, for which the organization has no further use, over the course of the reporting period
(2) Water with concentration of total dissolved solids equal to or below 1,000 mg/L
(3) Water quality categories based on the Water Accounting Framework (WAF)
(4) Water that occurs naturally on the Earth’s surface in ice sheets, ice caps, glaciers, icebergs, bogs, ponds, lakes, rivers, and streams
(5) Water that is being held in, and that can be recovered from, an underground formation
(6) Water in a sea or in an ocean
(7) Municipal water suppliers and municipal wastewater treatment plants, public or private utilities, and other organizations involved in the provision, transport, treatment, disposal, or use of water and effluent</t>
    </r>
  </si>
  <si>
    <r>
      <rPr>
        <b/>
        <sz val="9"/>
        <color rgb="FF013248"/>
        <rFont val="Arial"/>
        <family val="2"/>
      </rPr>
      <t>Notes</t>
    </r>
    <r>
      <rPr>
        <sz val="9"/>
        <color rgb="FF013248"/>
        <rFont val="Arial"/>
        <family val="2"/>
      </rPr>
      <t>:
(1) Sum of all water that has been withdrawn and incorporated into products, used in the production of crops or generated as waste, has evaporated, transpired, or been consumed by humans or livestock, or is polluted to the point of being unusable by other users, and is therefore not released back to surface water, groundwater, seawater, or a third party over the course of the reporting period.  Water consumption includes water that has been stored during the reporting period for use or discharge in a subsequent reporting period. This definition is based on CDP Water Security Reporting Guidance, 2018.
(2) Water held in water storage facilities or reservoirs.
(3) Water recycled is defined as water reused within the site for operational use.
(4) In our 2020 report, water used was defined as water used in the processing of 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</si>
</sst>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0.0"/>
    <numFmt numFmtId="165" formatCode="_-* #,##0_-;\-* #,##0_-;_-* &quot;-&quot;??_-;_-@_-"/>
    <numFmt numFmtId="166" formatCode="0.0%"/>
    <numFmt numFmtId="167" formatCode="#,##0.00;\(#,##0.00\)"/>
    <numFmt numFmtId="168" formatCode="\$###,###,###,##0;\(\$#,###,##0\)"/>
    <numFmt numFmtId="169" formatCode="_-[$$-409]* #,##0.00_ ;_-[$$-409]* \-#,##0.00\ ;_-[$$-409]* &quot;-&quot;??_ ;_-@_ "/>
  </numFmts>
  <fonts count="7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9"/>
      <color theme="1"/>
      <name val="Calibri"/>
      <family val="2"/>
      <scheme val="minor"/>
    </font>
    <font>
      <sz val="9"/>
      <color theme="0"/>
      <name val="Calibri"/>
      <family val="2"/>
      <scheme val="minor"/>
    </font>
    <font>
      <u/>
      <sz val="11"/>
      <color theme="10"/>
      <name val="Calibri"/>
      <family val="2"/>
      <scheme val="minor"/>
    </font>
    <font>
      <b/>
      <sz val="13"/>
      <color theme="3"/>
      <name val="Calibri"/>
      <family val="2"/>
      <scheme val="minor"/>
    </font>
    <font>
      <sz val="8"/>
      <name val="Calibri"/>
      <family val="2"/>
      <scheme val="minor"/>
    </font>
    <font>
      <sz val="11"/>
      <color rgb="FF36256E"/>
      <name val="Calibri"/>
      <family val="2"/>
      <scheme val="minor"/>
    </font>
    <font>
      <sz val="9"/>
      <color rgb="FF36256E"/>
      <name val="Calibri"/>
      <family val="2"/>
      <scheme val="minor"/>
    </font>
    <font>
      <b/>
      <sz val="11"/>
      <color rgb="FF36256E"/>
      <name val="Calibri"/>
      <family val="2"/>
      <scheme val="minor"/>
    </font>
    <font>
      <sz val="9"/>
      <name val="Calibri"/>
      <family val="2"/>
      <scheme val="minor"/>
    </font>
    <font>
      <sz val="11"/>
      <name val="Calibri"/>
      <family val="2"/>
      <scheme val="minor"/>
    </font>
    <font>
      <sz val="10"/>
      <name val="Calibri"/>
      <family val="2"/>
      <scheme val="minor"/>
    </font>
    <font>
      <b/>
      <sz val="9"/>
      <color theme="0"/>
      <name val="Trade Gothic Next"/>
      <family val="2"/>
    </font>
    <font>
      <sz val="10"/>
      <color indexed="0"/>
      <name val="Arial"/>
      <family val="2"/>
    </font>
    <font>
      <sz val="18"/>
      <color theme="3"/>
      <name val="Calibri Light"/>
      <family val="2"/>
      <scheme val="major"/>
    </font>
    <font>
      <b/>
      <sz val="15"/>
      <color rgb="FF013248"/>
      <name val="Arial"/>
      <family val="2"/>
    </font>
    <font>
      <b/>
      <sz val="15"/>
      <color rgb="FF04A390"/>
      <name val="Arial"/>
      <family val="2"/>
    </font>
    <font>
      <b/>
      <sz val="11"/>
      <color rgb="FF04A390"/>
      <name val="Calibri"/>
      <family val="2"/>
      <scheme val="minor"/>
    </font>
    <font>
      <b/>
      <sz val="13"/>
      <color rgb="FF04A390"/>
      <name val="Arial"/>
      <family val="2"/>
    </font>
    <font>
      <b/>
      <sz val="13"/>
      <color rgb="FF013248"/>
      <name val="Arial"/>
      <family val="2"/>
    </font>
    <font>
      <sz val="11"/>
      <color rgb="FF013248"/>
      <name val="Arial"/>
      <family val="2"/>
    </font>
    <font>
      <b/>
      <sz val="11"/>
      <color rgb="FF04A390"/>
      <name val="Arial"/>
      <family val="2"/>
    </font>
    <font>
      <b/>
      <sz val="9"/>
      <color rgb="FF013248"/>
      <name val="Arial"/>
      <family val="2"/>
    </font>
    <font>
      <b/>
      <sz val="9"/>
      <color theme="0"/>
      <name val="Arial"/>
      <family val="2"/>
    </font>
    <font>
      <sz val="9"/>
      <color rgb="FF013248"/>
      <name val="Arial"/>
      <family val="2"/>
    </font>
    <font>
      <b/>
      <sz val="11"/>
      <color rgb="FF013248"/>
      <name val="Arial"/>
      <family val="2"/>
    </font>
    <font>
      <sz val="9"/>
      <color theme="0"/>
      <name val="Arial"/>
      <family val="2"/>
    </font>
    <font>
      <sz val="18"/>
      <color theme="3"/>
      <name val="Arial"/>
      <family val="2"/>
    </font>
    <font>
      <sz val="11"/>
      <color rgb="FF36256E"/>
      <name val="Arial"/>
      <family val="2"/>
    </font>
    <font>
      <b/>
      <sz val="11"/>
      <color theme="3"/>
      <name val="Arial"/>
      <family val="2"/>
    </font>
    <font>
      <sz val="11"/>
      <color rgb="FFFF0000"/>
      <name val="Arial"/>
      <family val="2"/>
    </font>
    <font>
      <sz val="11"/>
      <color theme="4"/>
      <name val="Arial"/>
      <family val="2"/>
    </font>
    <font>
      <sz val="11"/>
      <name val="Arial"/>
      <family val="2"/>
    </font>
    <font>
      <sz val="9"/>
      <name val="Arial"/>
      <family val="2"/>
    </font>
    <font>
      <sz val="9"/>
      <color rgb="FF36256E"/>
      <name val="Arial"/>
      <family val="2"/>
    </font>
    <font>
      <u/>
      <sz val="9"/>
      <color rgb="FF04A390"/>
      <name val="Arial"/>
      <family val="2"/>
    </font>
    <font>
      <b/>
      <sz val="11"/>
      <name val="Arial"/>
      <family val="2"/>
    </font>
    <font>
      <b/>
      <sz val="11"/>
      <color rgb="FF36256E"/>
      <name val="Arial"/>
      <family val="2"/>
    </font>
    <font>
      <sz val="9"/>
      <color theme="1"/>
      <name val="Arial"/>
      <family val="2"/>
    </font>
    <font>
      <sz val="10"/>
      <color theme="1"/>
      <name val="Arial"/>
      <family val="2"/>
    </font>
    <font>
      <b/>
      <sz val="9"/>
      <name val="Arial"/>
      <family val="2"/>
    </font>
    <font>
      <b/>
      <sz val="9"/>
      <color theme="1"/>
      <name val="Arial"/>
      <family val="2"/>
    </font>
    <font>
      <sz val="11"/>
      <color theme="1"/>
      <name val="Arial"/>
      <family val="2"/>
    </font>
    <font>
      <b/>
      <sz val="9"/>
      <color rgb="FF36256E"/>
      <name val="Arial"/>
      <family val="2"/>
    </font>
    <font>
      <b/>
      <sz val="9"/>
      <color rgb="FFC00000"/>
      <name val="Arial"/>
      <family val="2"/>
    </font>
    <font>
      <sz val="10"/>
      <color rgb="FF013248"/>
      <name val="Arial"/>
      <family val="2"/>
    </font>
    <font>
      <b/>
      <sz val="10"/>
      <color rgb="FF013248"/>
      <name val="Arial"/>
      <family val="2"/>
    </font>
    <font>
      <sz val="8"/>
      <name val="Arial"/>
      <family val="2"/>
    </font>
    <font>
      <sz val="10"/>
      <color rgb="FF36256E"/>
      <name val="Arial"/>
      <family val="2"/>
    </font>
    <font>
      <sz val="10"/>
      <name val="Arial"/>
      <family val="2"/>
    </font>
    <font>
      <sz val="10"/>
      <color rgb="FF000000"/>
      <name val="Arial"/>
      <family val="2"/>
    </font>
    <font>
      <i/>
      <sz val="10"/>
      <color rgb="FF000000"/>
      <name val="Arial"/>
      <family val="2"/>
    </font>
    <font>
      <b/>
      <sz val="15"/>
      <color rgb="FF36256E"/>
      <name val="Arial"/>
      <family val="2"/>
    </font>
    <font>
      <b/>
      <sz val="10"/>
      <color rgb="FFC00000"/>
      <name val="Arial"/>
      <family val="2"/>
    </font>
    <font>
      <sz val="9"/>
      <color rgb="FF000000"/>
      <name val="Arial"/>
      <family val="2"/>
    </font>
    <font>
      <b/>
      <sz val="9"/>
      <color rgb="FFFFFFFF"/>
      <name val="Arial"/>
      <family val="2"/>
    </font>
    <font>
      <i/>
      <sz val="10"/>
      <color theme="7"/>
      <name val="Arial"/>
      <family val="2"/>
    </font>
    <font>
      <sz val="9"/>
      <color rgb="FFFF0000"/>
      <name val="Arial"/>
      <family val="2"/>
    </font>
    <font>
      <b/>
      <sz val="10"/>
      <name val="Arial"/>
      <family val="2"/>
    </font>
    <font>
      <sz val="8"/>
      <color rgb="FF36256E"/>
      <name val="Arial"/>
      <family val="2"/>
    </font>
    <font>
      <sz val="9"/>
      <color rgb="FFFFFFFF"/>
      <name val="Arial"/>
      <family val="2"/>
    </font>
    <font>
      <b/>
      <sz val="10"/>
      <color rgb="FFFFFFFF"/>
      <name val="Arial"/>
      <family val="2"/>
    </font>
    <font>
      <u/>
      <sz val="9"/>
      <color rgb="FF013248"/>
      <name val="Arial"/>
      <family val="2"/>
    </font>
    <font>
      <sz val="11"/>
      <color rgb="FF04A390"/>
      <name val="Arial"/>
      <family val="2"/>
    </font>
    <font>
      <i/>
      <sz val="9"/>
      <color rgb="FF000000"/>
      <name val="Arial"/>
      <family val="2"/>
    </font>
    <font>
      <i/>
      <sz val="9"/>
      <color rgb="FF013248"/>
      <name val="Arial"/>
      <family val="2"/>
    </font>
    <font>
      <b/>
      <u/>
      <sz val="9"/>
      <color rgb="FF013248"/>
      <name val="Arial"/>
      <family val="2"/>
    </font>
    <font>
      <sz val="7"/>
      <color rgb="FF013248"/>
      <name val="Arial"/>
      <family val="2"/>
    </font>
    <font>
      <sz val="9"/>
      <color rgb="FF013248"/>
      <name val="Calibri"/>
      <family val="2"/>
      <scheme val="minor"/>
    </font>
    <font>
      <b/>
      <sz val="9"/>
      <color rgb="FF013248"/>
      <name val="Calibri"/>
      <family val="2"/>
      <scheme val="minor"/>
    </font>
    <font>
      <sz val="11"/>
      <color rgb="FF013248"/>
      <name val="Calibri"/>
      <family val="2"/>
      <scheme val="minor"/>
    </font>
    <font>
      <sz val="10"/>
      <color rgb="FF013248"/>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bgColor indexed="64"/>
      </patternFill>
    </fill>
    <fill>
      <patternFill patternType="solid">
        <fgColor rgb="FF013248"/>
        <bgColor indexed="64"/>
      </patternFill>
    </fill>
    <fill>
      <patternFill patternType="solid">
        <fgColor rgb="FF013248"/>
        <bgColor theme="7"/>
      </patternFill>
    </fill>
    <fill>
      <patternFill patternType="solid">
        <fgColor rgb="FF013248"/>
        <bgColor rgb="FF000000"/>
      </patternFill>
    </fill>
    <fill>
      <patternFill patternType="solid">
        <fgColor rgb="FF013248"/>
        <bgColor rgb="FF6073A9"/>
      </patternFill>
    </fill>
    <fill>
      <patternFill patternType="solid">
        <fgColor rgb="FF04A390"/>
        <bgColor indexed="64"/>
      </patternFill>
    </fill>
    <fill>
      <patternFill patternType="solid">
        <fgColor theme="2" tint="-9.9978637043366805E-2"/>
        <bgColor indexed="64"/>
      </patternFill>
    </fill>
    <fill>
      <patternFill patternType="solid">
        <fgColor rgb="FF04A390"/>
        <bgColor rgb="FF000000"/>
      </patternFill>
    </fill>
  </fills>
  <borders count="59">
    <border>
      <left/>
      <right/>
      <top/>
      <bottom/>
      <diagonal/>
    </border>
    <border>
      <left/>
      <right/>
      <top/>
      <bottom style="thick">
        <color theme="4"/>
      </bottom>
      <diagonal/>
    </border>
    <border>
      <left/>
      <right/>
      <top style="thin">
        <color theme="7"/>
      </top>
      <bottom/>
      <diagonal/>
    </border>
    <border>
      <left/>
      <right/>
      <top style="thin">
        <color theme="7"/>
      </top>
      <bottom style="thin">
        <color theme="7"/>
      </bottom>
      <diagonal/>
    </border>
    <border>
      <left/>
      <right/>
      <top/>
      <bottom style="thick">
        <color theme="4" tint="0.49998474074526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thin">
        <color rgb="FFFFFFFF"/>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7"/>
      </left>
      <right/>
      <top style="thin">
        <color auto="1"/>
      </top>
      <bottom style="thin">
        <color auto="1"/>
      </bottom>
      <diagonal/>
    </border>
    <border>
      <left style="thin">
        <color auto="1"/>
      </left>
      <right/>
      <top/>
      <bottom style="thin">
        <color auto="1"/>
      </bottom>
      <diagonal/>
    </border>
    <border>
      <left/>
      <right/>
      <top/>
      <bottom style="thin">
        <color rgb="FF013248"/>
      </bottom>
      <diagonal/>
    </border>
    <border>
      <left/>
      <right/>
      <top style="thin">
        <color rgb="FF013248"/>
      </top>
      <bottom style="thin">
        <color rgb="FF013248"/>
      </bottom>
      <diagonal/>
    </border>
    <border>
      <left/>
      <right/>
      <top style="thin">
        <color rgb="FF013248"/>
      </top>
      <bottom/>
      <diagonal/>
    </border>
    <border>
      <left style="thin">
        <color rgb="FF013248"/>
      </left>
      <right/>
      <top style="thin">
        <color rgb="FF013248"/>
      </top>
      <bottom style="thin">
        <color rgb="FF013248"/>
      </bottom>
      <diagonal/>
    </border>
    <border>
      <left/>
      <right/>
      <top style="thin">
        <color theme="7"/>
      </top>
      <bottom style="thin">
        <color rgb="FF013248"/>
      </bottom>
      <diagonal/>
    </border>
    <border>
      <left/>
      <right style="thin">
        <color rgb="FF013248"/>
      </right>
      <top style="thin">
        <color rgb="FF013248"/>
      </top>
      <bottom style="thin">
        <color rgb="FF013248"/>
      </bottom>
      <diagonal/>
    </border>
    <border>
      <left style="thin">
        <color theme="7"/>
      </left>
      <right/>
      <top style="thin">
        <color rgb="FF013248"/>
      </top>
      <bottom style="thin">
        <color rgb="FF013248"/>
      </bottom>
      <diagonal/>
    </border>
    <border>
      <left/>
      <right style="thin">
        <color theme="7"/>
      </right>
      <top style="thin">
        <color rgb="FF013248"/>
      </top>
      <bottom style="thin">
        <color rgb="FF013248"/>
      </bottom>
      <diagonal/>
    </border>
    <border>
      <left/>
      <right/>
      <top style="thin">
        <color rgb="FF013248"/>
      </top>
      <bottom style="thin">
        <color theme="7"/>
      </bottom>
      <diagonal/>
    </border>
    <border>
      <left style="thin">
        <color rgb="FF013248"/>
      </left>
      <right/>
      <top style="thin">
        <color rgb="FF013248"/>
      </top>
      <bottom/>
      <diagonal/>
    </border>
    <border>
      <left/>
      <right style="thin">
        <color rgb="FF013248"/>
      </right>
      <top style="thin">
        <color rgb="FF013248"/>
      </top>
      <bottom/>
      <diagonal/>
    </border>
    <border>
      <left style="thin">
        <color rgb="FF013248"/>
      </left>
      <right/>
      <top/>
      <bottom/>
      <diagonal/>
    </border>
    <border>
      <left/>
      <right style="thin">
        <color rgb="FF013248"/>
      </right>
      <top/>
      <bottom/>
      <diagonal/>
    </border>
    <border>
      <left style="thin">
        <color rgb="FF013248"/>
      </left>
      <right/>
      <top/>
      <bottom style="thin">
        <color rgb="FF013248"/>
      </bottom>
      <diagonal/>
    </border>
    <border>
      <left/>
      <right style="thin">
        <color rgb="FF013248"/>
      </right>
      <top/>
      <bottom style="thin">
        <color rgb="FF013248"/>
      </bottom>
      <diagonal/>
    </border>
    <border>
      <left/>
      <right style="thin">
        <color rgb="FF013248"/>
      </right>
      <top style="thin">
        <color rgb="FF013248"/>
      </top>
      <bottom style="thin">
        <color theme="7"/>
      </bottom>
      <diagonal/>
    </border>
    <border>
      <left style="thin">
        <color rgb="FF013248"/>
      </left>
      <right/>
      <top style="thin">
        <color theme="7"/>
      </top>
      <bottom style="thin">
        <color theme="7"/>
      </bottom>
      <diagonal/>
    </border>
    <border>
      <left/>
      <right style="thin">
        <color rgb="FF013248"/>
      </right>
      <top style="thin">
        <color theme="7"/>
      </top>
      <bottom style="thin">
        <color theme="7"/>
      </bottom>
      <diagonal/>
    </border>
    <border>
      <left style="thin">
        <color rgb="FF013248"/>
      </left>
      <right/>
      <top style="thin">
        <color theme="7"/>
      </top>
      <bottom style="thin">
        <color rgb="FF013248"/>
      </bottom>
      <diagonal/>
    </border>
    <border>
      <left/>
      <right style="thin">
        <color rgb="FF013248"/>
      </right>
      <top style="thin">
        <color theme="7"/>
      </top>
      <bottom style="thin">
        <color rgb="FF013248"/>
      </bottom>
      <diagonal/>
    </border>
    <border>
      <left style="thin">
        <color rgb="FF013248"/>
      </left>
      <right/>
      <top/>
      <bottom style="thin">
        <color theme="7"/>
      </bottom>
      <diagonal/>
    </border>
    <border>
      <left style="thin">
        <color rgb="FF013248"/>
      </left>
      <right/>
      <top style="thin">
        <color rgb="FF013248"/>
      </top>
      <bottom style="thin">
        <color theme="7"/>
      </bottom>
      <diagonal/>
    </border>
    <border>
      <left style="thin">
        <color rgb="FF013248"/>
      </left>
      <right style="thin">
        <color theme="7"/>
      </right>
      <top style="thin">
        <color rgb="FF013248"/>
      </top>
      <bottom style="thin">
        <color rgb="FF013248"/>
      </bottom>
      <diagonal/>
    </border>
    <border>
      <left style="thin">
        <color rgb="FF36256E"/>
      </left>
      <right style="thin">
        <color rgb="FF36256E"/>
      </right>
      <top style="thin">
        <color rgb="FF013248"/>
      </top>
      <bottom style="thin">
        <color rgb="FF013248"/>
      </bottom>
      <diagonal/>
    </border>
    <border>
      <left style="thin">
        <color rgb="FF013248"/>
      </left>
      <right style="thin">
        <color rgb="FF36256E"/>
      </right>
      <top style="thin">
        <color rgb="FF013248"/>
      </top>
      <bottom style="thin">
        <color rgb="FF013248"/>
      </bottom>
      <diagonal/>
    </border>
    <border>
      <left style="thin">
        <color rgb="FF36256E"/>
      </left>
      <right style="thin">
        <color rgb="FF013248"/>
      </right>
      <top style="thin">
        <color rgb="FF013248"/>
      </top>
      <bottom style="thin">
        <color rgb="FF013248"/>
      </bottom>
      <diagonal/>
    </border>
    <border>
      <left/>
      <right style="thin">
        <color rgb="FF013248"/>
      </right>
      <top style="thin">
        <color rgb="FF013248"/>
      </top>
      <bottom style="double">
        <color rgb="FF013248"/>
      </bottom>
      <diagonal/>
    </border>
    <border>
      <left style="thin">
        <color rgb="FF013248"/>
      </left>
      <right/>
      <top style="thin">
        <color rgb="FF013248"/>
      </top>
      <bottom style="double">
        <color rgb="FF013248"/>
      </bottom>
      <diagonal/>
    </border>
    <border>
      <left/>
      <right/>
      <top style="thin">
        <color rgb="FF013248"/>
      </top>
      <bottom style="double">
        <color rgb="FF013248"/>
      </bottom>
      <diagonal/>
    </border>
    <border>
      <left style="thin">
        <color rgb="FF36256E"/>
      </left>
      <right style="thin">
        <color rgb="FF36256E"/>
      </right>
      <top/>
      <bottom style="thin">
        <color rgb="FF013248"/>
      </bottom>
      <diagonal/>
    </border>
    <border>
      <left style="thin">
        <color rgb="FF013248"/>
      </left>
      <right style="thin">
        <color rgb="FF36256E"/>
      </right>
      <top/>
      <bottom style="thin">
        <color rgb="FF013248"/>
      </bottom>
      <diagonal/>
    </border>
    <border>
      <left style="thin">
        <color rgb="FF36256E"/>
      </left>
      <right style="thin">
        <color rgb="FF013248"/>
      </right>
      <top/>
      <bottom style="thin">
        <color rgb="FF013248"/>
      </bottom>
      <diagonal/>
    </border>
    <border>
      <left/>
      <right style="thin">
        <color rgb="FFFFFFFF"/>
      </right>
      <top/>
      <bottom style="thin">
        <color rgb="FF013248"/>
      </bottom>
      <diagonal/>
    </border>
    <border>
      <left/>
      <right style="thin">
        <color rgb="FFFFFFFF"/>
      </right>
      <top style="thin">
        <color rgb="FF013248"/>
      </top>
      <bottom style="thin">
        <color rgb="FF013248"/>
      </bottom>
      <diagonal/>
    </border>
    <border>
      <left/>
      <right style="thin">
        <color rgb="FFFFFFFF"/>
      </right>
      <top style="thin">
        <color rgb="FF013248"/>
      </top>
      <bottom/>
      <diagonal/>
    </border>
    <border>
      <left style="thin">
        <color theme="7"/>
      </left>
      <right style="thin">
        <color theme="7"/>
      </right>
      <top style="thin">
        <color rgb="FF013248"/>
      </top>
      <bottom style="thin">
        <color rgb="FF013248"/>
      </bottom>
      <diagonal/>
    </border>
    <border>
      <left style="thin">
        <color theme="7"/>
      </left>
      <right style="thin">
        <color rgb="FF013248"/>
      </right>
      <top style="thin">
        <color rgb="FF013248"/>
      </top>
      <bottom style="thin">
        <color rgb="FF013248"/>
      </bottom>
      <diagonal/>
    </border>
    <border>
      <left/>
      <right/>
      <top style="thin">
        <color auto="1"/>
      </top>
      <bottom style="double">
        <color rgb="FF013248"/>
      </bottom>
      <diagonal/>
    </border>
    <border>
      <left style="thin">
        <color indexed="64"/>
      </left>
      <right style="thin">
        <color indexed="64"/>
      </right>
      <top/>
      <bottom style="thin">
        <color auto="1"/>
      </bottom>
      <diagonal/>
    </border>
    <border>
      <left style="thin">
        <color theme="7"/>
      </left>
      <right/>
      <top/>
      <bottom style="thin">
        <color auto="1"/>
      </bottom>
      <diagonal/>
    </border>
    <border>
      <left style="thin">
        <color auto="1"/>
      </left>
      <right style="thin">
        <color theme="7"/>
      </right>
      <top style="thin">
        <color auto="1"/>
      </top>
      <bottom style="thin">
        <color auto="1"/>
      </bottom>
      <diagonal/>
    </border>
    <border>
      <left style="thin">
        <color theme="7"/>
      </left>
      <right style="thin">
        <color theme="7"/>
      </right>
      <top style="thin">
        <color auto="1"/>
      </top>
      <bottom style="thin">
        <color auto="1"/>
      </bottom>
      <diagonal/>
    </border>
    <border>
      <left style="thin">
        <color theme="7"/>
      </left>
      <right style="thin">
        <color auto="1"/>
      </right>
      <top style="thin">
        <color auto="1"/>
      </top>
      <bottom style="thin">
        <color auto="1"/>
      </bottom>
      <diagonal/>
    </border>
    <border>
      <left style="medium">
        <color rgb="FF1B587C"/>
      </left>
      <right style="medium">
        <color rgb="FF1B587C"/>
      </right>
      <top/>
      <bottom style="thin">
        <color rgb="FF013248"/>
      </bottom>
      <diagonal/>
    </border>
  </borders>
  <cellStyleXfs count="10">
    <xf numFmtId="0" fontId="0" fillId="0" borderId="0"/>
    <xf numFmtId="9" fontId="1" fillId="0" borderId="0" applyFont="0" applyFill="0" applyBorder="0" applyAlignment="0" applyProtection="0"/>
    <xf numFmtId="0" fontId="18" fillId="0" borderId="1" applyNumberFormat="0" applyFill="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7" fillId="0" borderId="4" applyNumberFormat="0" applyFill="0" applyAlignment="0" applyProtection="0"/>
    <xf numFmtId="0" fontId="3" fillId="0" borderId="5" applyNumberFormat="0" applyFill="0" applyAlignment="0" applyProtection="0"/>
    <xf numFmtId="43" fontId="1" fillId="0" borderId="0" applyFont="0" applyFill="0" applyBorder="0" applyAlignment="0" applyProtection="0"/>
    <xf numFmtId="167" fontId="16" fillId="0" borderId="0"/>
    <xf numFmtId="0" fontId="17" fillId="0" borderId="0" applyNumberFormat="0" applyFill="0" applyBorder="0" applyAlignment="0" applyProtection="0"/>
  </cellStyleXfs>
  <cellXfs count="1008">
    <xf numFmtId="0" fontId="0" fillId="0" borderId="0" xfId="0"/>
    <xf numFmtId="0" fontId="4" fillId="0" borderId="0" xfId="0" applyFont="1"/>
    <xf numFmtId="0" fontId="9" fillId="0" borderId="0" xfId="0" applyFont="1"/>
    <xf numFmtId="0" fontId="10" fillId="0" borderId="0" xfId="0" applyFont="1"/>
    <xf numFmtId="0" fontId="11" fillId="0" borderId="0" xfId="3" applyFont="1"/>
    <xf numFmtId="0" fontId="9" fillId="0" borderId="0" xfId="0" applyFont="1" applyAlignment="1">
      <alignment wrapText="1"/>
    </xf>
    <xf numFmtId="0" fontId="5" fillId="0" borderId="0" xfId="0" applyFont="1"/>
    <xf numFmtId="0" fontId="13" fillId="0" borderId="0" xfId="0" applyFont="1"/>
    <xf numFmtId="0" fontId="12"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xf numFmtId="0" fontId="14" fillId="0" borderId="0" xfId="0" applyFont="1" applyAlignment="1">
      <alignment horizontal="left" vertical="top" wrapText="1"/>
    </xf>
    <xf numFmtId="0" fontId="20" fillId="0" borderId="0" xfId="3" applyFont="1"/>
    <xf numFmtId="0" fontId="18" fillId="0" borderId="1" xfId="2" applyAlignment="1">
      <alignment wrapText="1"/>
    </xf>
    <xf numFmtId="0" fontId="21" fillId="0" borderId="7" xfId="5" applyFont="1" applyBorder="1" applyAlignment="1">
      <alignment horizontal="left"/>
    </xf>
    <xf numFmtId="0" fontId="23" fillId="0" borderId="0" xfId="0" applyFont="1" applyAlignment="1">
      <alignment wrapText="1"/>
    </xf>
    <xf numFmtId="0" fontId="24" fillId="0" borderId="0" xfId="3" applyFont="1"/>
    <xf numFmtId="0" fontId="23" fillId="0" borderId="0" xfId="0" applyFont="1"/>
    <xf numFmtId="0" fontId="23" fillId="0" borderId="0" xfId="0" applyFont="1" applyAlignment="1">
      <alignment horizontal="left"/>
    </xf>
    <xf numFmtId="0" fontId="28" fillId="0" borderId="0" xfId="0" applyFont="1"/>
    <xf numFmtId="9" fontId="23" fillId="0" borderId="0" xfId="1" applyFont="1"/>
    <xf numFmtId="0" fontId="27" fillId="0" borderId="0" xfId="0" applyFont="1"/>
    <xf numFmtId="0" fontId="27" fillId="0" borderId="0" xfId="0" applyFont="1" applyAlignment="1">
      <alignment horizontal="left" vertical="top" wrapText="1"/>
    </xf>
    <xf numFmtId="2" fontId="27" fillId="0" borderId="0" xfId="0" applyNumberFormat="1" applyFont="1"/>
    <xf numFmtId="0" fontId="28" fillId="0" borderId="0" xfId="3" applyFont="1"/>
    <xf numFmtId="0" fontId="29" fillId="5" borderId="0" xfId="0" applyFont="1" applyFill="1"/>
    <xf numFmtId="43" fontId="27" fillId="0" borderId="0" xfId="0" applyNumberFormat="1" applyFont="1"/>
    <xf numFmtId="9" fontId="27" fillId="0" borderId="0" xfId="1" applyFont="1"/>
    <xf numFmtId="0" fontId="27" fillId="0" borderId="0" xfId="0" applyFont="1" applyAlignment="1">
      <alignment horizontal="left" wrapText="1"/>
    </xf>
    <xf numFmtId="0" fontId="27" fillId="0" borderId="0" xfId="0" applyFont="1" applyAlignment="1">
      <alignment horizontal="left"/>
    </xf>
    <xf numFmtId="43" fontId="23" fillId="0" borderId="0" xfId="0" applyNumberFormat="1" applyFont="1"/>
    <xf numFmtId="0" fontId="25" fillId="0" borderId="0" xfId="0" applyFont="1"/>
    <xf numFmtId="0" fontId="25" fillId="0" borderId="0" xfId="0" quotePrefix="1" applyFont="1" applyAlignment="1">
      <alignment horizontal="left" wrapText="1"/>
    </xf>
    <xf numFmtId="0" fontId="25" fillId="0" borderId="0" xfId="0" applyFont="1" applyAlignment="1">
      <alignment horizontal="left" wrapText="1"/>
    </xf>
    <xf numFmtId="0" fontId="27" fillId="0" borderId="0" xfId="0" applyFont="1" applyAlignment="1">
      <alignment wrapText="1"/>
    </xf>
    <xf numFmtId="0" fontId="30" fillId="0" borderId="0" xfId="9" applyFont="1"/>
    <xf numFmtId="0" fontId="31" fillId="0" borderId="0" xfId="0" applyFont="1"/>
    <xf numFmtId="0" fontId="32" fillId="0" borderId="0" xfId="3" applyFont="1"/>
    <xf numFmtId="0" fontId="33" fillId="0" borderId="0" xfId="0" applyFont="1"/>
    <xf numFmtId="0" fontId="34" fillId="0" borderId="0" xfId="0" applyFont="1"/>
    <xf numFmtId="0" fontId="35" fillId="0" borderId="0" xfId="0" applyFont="1"/>
    <xf numFmtId="0" fontId="36" fillId="0" borderId="0" xfId="0" applyFont="1" applyAlignment="1">
      <alignment horizontal="left" vertical="top" wrapText="1"/>
    </xf>
    <xf numFmtId="0" fontId="31" fillId="0" borderId="0" xfId="0" applyFont="1" applyAlignment="1">
      <alignment horizontal="left" vertical="top" wrapText="1"/>
    </xf>
    <xf numFmtId="0" fontId="37" fillId="0" borderId="0" xfId="0" applyFont="1" applyAlignment="1">
      <alignment horizontal="left" vertical="top" wrapText="1"/>
    </xf>
    <xf numFmtId="0" fontId="39" fillId="0" borderId="0" xfId="3" applyFont="1"/>
    <xf numFmtId="0" fontId="40" fillId="0" borderId="0" xfId="3" applyFont="1"/>
    <xf numFmtId="0" fontId="42" fillId="0" borderId="0" xfId="0" applyFont="1"/>
    <xf numFmtId="0" fontId="36" fillId="0" borderId="0" xfId="0" applyFont="1" applyAlignment="1">
      <alignment horizontal="left" vertical="center" wrapText="1"/>
    </xf>
    <xf numFmtId="0" fontId="41" fillId="0" borderId="0" xfId="0" applyFont="1" applyAlignment="1">
      <alignment horizontal="left" vertical="top" wrapText="1"/>
    </xf>
    <xf numFmtId="0" fontId="45" fillId="0" borderId="0" xfId="0" applyFont="1" applyAlignment="1">
      <alignment wrapText="1"/>
    </xf>
    <xf numFmtId="0" fontId="42" fillId="0" borderId="0" xfId="0" applyFont="1" applyAlignment="1">
      <alignment horizontal="left" vertical="top" wrapText="1"/>
    </xf>
    <xf numFmtId="0" fontId="45" fillId="0" borderId="0" xfId="0" applyFont="1"/>
    <xf numFmtId="0" fontId="36" fillId="0" borderId="0" xfId="0" applyFont="1" applyAlignment="1">
      <alignment vertical="top" wrapText="1"/>
    </xf>
    <xf numFmtId="0" fontId="41" fillId="0" borderId="0" xfId="0" quotePrefix="1" applyFont="1" applyAlignment="1">
      <alignment horizontal="left" vertical="top" wrapText="1"/>
    </xf>
    <xf numFmtId="0" fontId="18" fillId="0" borderId="1" xfId="2"/>
    <xf numFmtId="0" fontId="41" fillId="0" borderId="0" xfId="0" applyFont="1" applyAlignment="1">
      <alignment wrapText="1"/>
    </xf>
    <xf numFmtId="0" fontId="36" fillId="0" borderId="0" xfId="0" applyFont="1" applyAlignment="1">
      <alignment vertical="top"/>
    </xf>
    <xf numFmtId="0" fontId="29" fillId="0" borderId="0" xfId="0" applyFont="1"/>
    <xf numFmtId="0" fontId="29" fillId="0" borderId="0" xfId="0" applyFont="1" applyAlignment="1">
      <alignment horizontal="left" vertical="top" wrapText="1"/>
    </xf>
    <xf numFmtId="0" fontId="41" fillId="0" borderId="0" xfId="0" applyFont="1"/>
    <xf numFmtId="9" fontId="31" fillId="0" borderId="0" xfId="1" applyFont="1"/>
    <xf numFmtId="0" fontId="31" fillId="0" borderId="0" xfId="0" applyFont="1" applyAlignment="1">
      <alignment wrapText="1"/>
    </xf>
    <xf numFmtId="0" fontId="46" fillId="0" borderId="0" xfId="0" applyFont="1" applyAlignment="1">
      <alignment vertical="center" wrapText="1"/>
    </xf>
    <xf numFmtId="0" fontId="29" fillId="5" borderId="0" xfId="0" applyFont="1" applyFill="1" applyAlignment="1">
      <alignment horizontal="left" vertical="center" wrapText="1"/>
    </xf>
    <xf numFmtId="0" fontId="37" fillId="0" borderId="0" xfId="0" applyFont="1" applyAlignment="1">
      <alignment horizontal="left"/>
    </xf>
    <xf numFmtId="0" fontId="36" fillId="0" borderId="0" xfId="0" applyFont="1" applyAlignment="1">
      <alignment vertical="center"/>
    </xf>
    <xf numFmtId="0" fontId="36" fillId="0" borderId="0" xfId="0" applyFont="1" applyAlignment="1">
      <alignment vertical="center" wrapText="1"/>
    </xf>
    <xf numFmtId="0" fontId="37" fillId="0" borderId="0" xfId="0" applyFont="1"/>
    <xf numFmtId="0" fontId="36" fillId="0" borderId="0" xfId="0" applyFont="1" applyAlignment="1">
      <alignment horizontal="left" vertical="center"/>
    </xf>
    <xf numFmtId="0" fontId="36" fillId="0" borderId="0" xfId="0" applyFont="1" applyAlignment="1">
      <alignment horizontal="left"/>
    </xf>
    <xf numFmtId="0" fontId="36" fillId="0" borderId="0" xfId="0" applyFont="1" applyAlignment="1">
      <alignment wrapText="1"/>
    </xf>
    <xf numFmtId="0" fontId="36" fillId="0" borderId="0" xfId="0" applyFont="1"/>
    <xf numFmtId="0" fontId="29" fillId="0" borderId="0" xfId="0" applyFont="1" applyAlignment="1">
      <alignment wrapText="1"/>
    </xf>
    <xf numFmtId="0" fontId="47" fillId="0" borderId="0" xfId="0" quotePrefix="1" applyFont="1" applyAlignment="1">
      <alignment horizontal="left" wrapText="1"/>
    </xf>
    <xf numFmtId="0" fontId="47" fillId="0" borderId="0" xfId="0" applyFont="1" applyAlignment="1">
      <alignment horizontal="left" wrapText="1"/>
    </xf>
    <xf numFmtId="9" fontId="41" fillId="0" borderId="0" xfId="1" applyFont="1" applyAlignment="1">
      <alignment horizontal="left" vertical="top" wrapText="1"/>
    </xf>
    <xf numFmtId="2" fontId="47" fillId="0" borderId="0" xfId="0" quotePrefix="1" applyNumberFormat="1" applyFont="1" applyAlignment="1">
      <alignment horizontal="left" wrapText="1"/>
    </xf>
    <xf numFmtId="2" fontId="47" fillId="0" borderId="0" xfId="0" applyNumberFormat="1" applyFont="1" applyAlignment="1">
      <alignment horizontal="left" wrapText="1"/>
    </xf>
    <xf numFmtId="0" fontId="36" fillId="0" borderId="0" xfId="0" applyFont="1" applyAlignment="1">
      <alignment horizontal="left" wrapText="1"/>
    </xf>
    <xf numFmtId="0" fontId="27" fillId="0" borderId="0" xfId="0" applyFont="1" applyAlignment="1">
      <alignment vertical="center" wrapText="1"/>
    </xf>
    <xf numFmtId="0" fontId="48" fillId="0" borderId="0" xfId="0" applyFont="1" applyAlignment="1">
      <alignment horizontal="left" vertical="top" wrapText="1"/>
    </xf>
    <xf numFmtId="0" fontId="49" fillId="0" borderId="0" xfId="0" quotePrefix="1" applyFont="1" applyAlignment="1">
      <alignment horizontal="left" wrapText="1"/>
    </xf>
    <xf numFmtId="0" fontId="48" fillId="0" borderId="0" xfId="0" applyFont="1" applyAlignment="1">
      <alignment wrapText="1"/>
    </xf>
    <xf numFmtId="0" fontId="48" fillId="0" borderId="0" xfId="0" applyFont="1"/>
    <xf numFmtId="0" fontId="27" fillId="0" borderId="0" xfId="0" applyFont="1" applyAlignment="1">
      <alignment vertical="top"/>
    </xf>
    <xf numFmtId="0" fontId="26" fillId="5" borderId="0" xfId="0" applyFont="1" applyFill="1" applyAlignment="1">
      <alignment horizontal="left" vertical="center"/>
    </xf>
    <xf numFmtId="0" fontId="50" fillId="0" borderId="0" xfId="0" applyFont="1" applyAlignment="1">
      <alignment vertical="center"/>
    </xf>
    <xf numFmtId="0" fontId="51" fillId="0" borderId="0" xfId="0" applyFont="1" applyAlignment="1">
      <alignment vertical="center"/>
    </xf>
    <xf numFmtId="0" fontId="53" fillId="0" borderId="0" xfId="0" applyFont="1" applyAlignment="1">
      <alignment vertical="top"/>
    </xf>
    <xf numFmtId="0" fontId="54" fillId="0" borderId="0" xfId="0" applyFont="1" applyAlignment="1">
      <alignment vertical="top"/>
    </xf>
    <xf numFmtId="0" fontId="54" fillId="0" borderId="0" xfId="0" applyFont="1"/>
    <xf numFmtId="0" fontId="18" fillId="0" borderId="1" xfId="2" applyAlignment="1">
      <alignment horizontal="left"/>
    </xf>
    <xf numFmtId="0" fontId="29" fillId="0" borderId="0" xfId="0" applyFont="1" applyAlignment="1">
      <alignment horizontal="left"/>
    </xf>
    <xf numFmtId="3" fontId="37" fillId="0" borderId="0" xfId="0" applyNumberFormat="1" applyFont="1" applyAlignment="1">
      <alignment horizontal="center" vertical="center" wrapText="1"/>
    </xf>
    <xf numFmtId="0" fontId="36" fillId="0" borderId="0" xfId="0" quotePrefix="1" applyFont="1" applyAlignment="1">
      <alignment horizontal="left" wrapText="1"/>
    </xf>
    <xf numFmtId="0" fontId="29" fillId="5" borderId="2" xfId="0" applyFont="1" applyFill="1" applyBorder="1" applyAlignment="1">
      <alignment horizontal="left" vertical="center" wrapText="1"/>
    </xf>
    <xf numFmtId="0" fontId="29" fillId="5" borderId="0" xfId="0" applyFont="1" applyFill="1" applyAlignment="1">
      <alignment horizontal="left" vertical="center"/>
    </xf>
    <xf numFmtId="0" fontId="55" fillId="0" borderId="0" xfId="2" applyFont="1" applyBorder="1" applyAlignment="1">
      <alignment horizontal="left"/>
    </xf>
    <xf numFmtId="0" fontId="44" fillId="0" borderId="0" xfId="0" applyFont="1" applyAlignment="1">
      <alignment horizontal="left" vertical="top" wrapText="1"/>
    </xf>
    <xf numFmtId="9" fontId="41" fillId="0" borderId="0" xfId="1" applyFont="1" applyAlignment="1">
      <alignment horizontal="left"/>
    </xf>
    <xf numFmtId="0" fontId="26" fillId="0" borderId="0" xfId="0" applyFont="1" applyAlignment="1">
      <alignment horizontal="left" vertical="center"/>
    </xf>
    <xf numFmtId="0" fontId="37" fillId="0" borderId="0" xfId="0" applyFont="1" applyAlignment="1">
      <alignment vertical="top" wrapText="1"/>
    </xf>
    <xf numFmtId="0" fontId="37" fillId="0" borderId="0" xfId="0" applyFont="1" applyAlignment="1">
      <alignment vertical="top"/>
    </xf>
    <xf numFmtId="43" fontId="41" fillId="0" borderId="0" xfId="0" applyNumberFormat="1" applyFont="1"/>
    <xf numFmtId="0" fontId="56" fillId="0" borderId="0" xfId="0" quotePrefix="1" applyFont="1" applyAlignment="1">
      <alignment horizontal="left" wrapText="1"/>
    </xf>
    <xf numFmtId="0" fontId="26" fillId="0" borderId="0" xfId="0" applyFont="1" applyAlignment="1">
      <alignment horizontal="center" wrapText="1"/>
    </xf>
    <xf numFmtId="0" fontId="44" fillId="0" borderId="0" xfId="0" applyFont="1" applyAlignment="1">
      <alignment horizontal="center" vertical="top" wrapText="1"/>
    </xf>
    <xf numFmtId="0" fontId="36" fillId="0" borderId="0" xfId="0" applyFont="1" applyAlignment="1">
      <alignment horizontal="center" vertical="center" wrapText="1"/>
    </xf>
    <xf numFmtId="9" fontId="36" fillId="0" borderId="0" xfId="0" applyNumberFormat="1" applyFont="1" applyAlignment="1">
      <alignment horizontal="center" vertical="center" wrapText="1"/>
    </xf>
    <xf numFmtId="0" fontId="43" fillId="0" borderId="0" xfId="0" applyFont="1" applyAlignment="1">
      <alignment horizontal="center" vertical="center" wrapText="1"/>
    </xf>
    <xf numFmtId="169" fontId="41" fillId="0" borderId="0" xfId="7" applyNumberFormat="1" applyFont="1" applyFill="1" applyAlignment="1">
      <alignment horizontal="center" vertical="top" wrapText="1"/>
    </xf>
    <xf numFmtId="0" fontId="41" fillId="0" borderId="0" xfId="0" applyFont="1" applyAlignment="1">
      <alignment horizontal="center" vertical="top" wrapText="1"/>
    </xf>
    <xf numFmtId="0" fontId="31" fillId="0" borderId="8" xfId="0" applyFont="1" applyBorder="1"/>
    <xf numFmtId="0" fontId="18" fillId="0" borderId="0" xfId="2" applyBorder="1" applyAlignment="1">
      <alignment horizontal="left"/>
    </xf>
    <xf numFmtId="0" fontId="40" fillId="0" borderId="0" xfId="3" applyFont="1" applyAlignment="1">
      <alignment horizontal="left" vertical="top" wrapText="1"/>
    </xf>
    <xf numFmtId="0" fontId="40" fillId="0" borderId="0" xfId="0" applyFont="1"/>
    <xf numFmtId="0" fontId="45" fillId="0" borderId="0" xfId="0" applyFont="1" applyAlignment="1">
      <alignment horizontal="left" vertical="top" wrapText="1"/>
    </xf>
    <xf numFmtId="0" fontId="46" fillId="0" borderId="0" xfId="0" applyFont="1"/>
    <xf numFmtId="0" fontId="43" fillId="0" borderId="0" xfId="0" applyFont="1" applyAlignment="1">
      <alignment horizontal="left" wrapText="1"/>
    </xf>
    <xf numFmtId="0" fontId="41" fillId="0" borderId="0" xfId="0" applyFont="1" applyAlignment="1">
      <alignment horizontal="left"/>
    </xf>
    <xf numFmtId="43" fontId="26" fillId="5" borderId="3" xfId="7" applyFont="1" applyFill="1" applyBorder="1" applyAlignment="1">
      <alignment horizontal="right" wrapText="1"/>
    </xf>
    <xf numFmtId="43" fontId="43" fillId="5" borderId="3" xfId="7" applyFont="1" applyFill="1" applyBorder="1" applyAlignment="1">
      <alignment wrapText="1"/>
    </xf>
    <xf numFmtId="1" fontId="45" fillId="0" borderId="0" xfId="0" applyNumberFormat="1" applyFont="1"/>
    <xf numFmtId="0" fontId="59" fillId="0" borderId="0" xfId="0" quotePrefix="1" applyFont="1" applyAlignment="1">
      <alignment vertical="top" wrapText="1"/>
    </xf>
    <xf numFmtId="0" fontId="59" fillId="0" borderId="0" xfId="0" applyFont="1" applyAlignment="1">
      <alignment vertical="top" wrapText="1"/>
    </xf>
    <xf numFmtId="0" fontId="24" fillId="0" borderId="0" xfId="3" applyFont="1" applyAlignment="1">
      <alignment vertical="center"/>
    </xf>
    <xf numFmtId="9" fontId="46" fillId="0" borderId="0" xfId="1" applyFont="1"/>
    <xf numFmtId="0" fontId="31" fillId="0" borderId="0" xfId="0" applyFont="1" applyAlignment="1">
      <alignment horizontal="left"/>
    </xf>
    <xf numFmtId="0" fontId="60" fillId="0" borderId="0" xfId="0" applyFont="1"/>
    <xf numFmtId="0" fontId="52" fillId="0" borderId="0" xfId="0" applyFont="1" applyAlignment="1">
      <alignment horizontal="left" vertical="top" wrapText="1"/>
    </xf>
    <xf numFmtId="0" fontId="61" fillId="0" borderId="0" xfId="0" quotePrefix="1" applyFont="1" applyAlignment="1">
      <alignment horizontal="left" wrapText="1"/>
    </xf>
    <xf numFmtId="0" fontId="61" fillId="0" borderId="0" xfId="0" applyFont="1" applyAlignment="1">
      <alignment horizontal="left" wrapText="1"/>
    </xf>
    <xf numFmtId="0" fontId="52" fillId="0" borderId="0" xfId="0" applyFont="1" applyAlignment="1">
      <alignment wrapText="1"/>
    </xf>
    <xf numFmtId="0" fontId="52" fillId="0" borderId="0" xfId="0" applyFont="1"/>
    <xf numFmtId="0" fontId="61" fillId="4" borderId="0" xfId="0" applyFont="1" applyFill="1" applyAlignment="1">
      <alignment horizontal="left" vertical="center" indent="2"/>
    </xf>
    <xf numFmtId="2" fontId="61" fillId="4" borderId="0" xfId="0" applyNumberFormat="1" applyFont="1" applyFill="1" applyAlignment="1">
      <alignment horizontal="right" vertical="center"/>
    </xf>
    <xf numFmtId="0" fontId="61" fillId="0" borderId="0" xfId="0" applyFont="1" applyAlignment="1">
      <alignment horizontal="left" vertical="center" indent="2"/>
    </xf>
    <xf numFmtId="2" fontId="61" fillId="0" borderId="0" xfId="0" applyNumberFormat="1" applyFont="1" applyAlignment="1">
      <alignment horizontal="right" vertical="center"/>
    </xf>
    <xf numFmtId="0" fontId="62" fillId="0" borderId="0" xfId="0" applyFont="1" applyAlignment="1">
      <alignment vertical="center"/>
    </xf>
    <xf numFmtId="0" fontId="55" fillId="0" borderId="0" xfId="2" applyFont="1" applyBorder="1" applyAlignment="1">
      <alignment horizontal="left" wrapText="1"/>
    </xf>
    <xf numFmtId="0" fontId="27" fillId="0" borderId="0" xfId="0" applyFont="1" applyAlignment="1">
      <alignment horizontal="left" vertical="center" wrapText="1"/>
    </xf>
    <xf numFmtId="0" fontId="41" fillId="5" borderId="15" xfId="0" applyFont="1" applyFill="1" applyBorder="1" applyAlignment="1">
      <alignment horizontal="left" vertical="top" wrapText="1"/>
    </xf>
    <xf numFmtId="0" fontId="41" fillId="5" borderId="15" xfId="0" applyFont="1" applyFill="1" applyBorder="1"/>
    <xf numFmtId="0" fontId="29" fillId="5" borderId="15" xfId="0" applyFont="1" applyFill="1" applyBorder="1" applyAlignment="1">
      <alignment horizontal="left" vertical="top" wrapText="1"/>
    </xf>
    <xf numFmtId="0" fontId="38" fillId="0" borderId="16" xfId="4" applyFont="1" applyBorder="1" applyAlignment="1">
      <alignment horizontal="left" vertical="top" wrapText="1"/>
    </xf>
    <xf numFmtId="0" fontId="38" fillId="0" borderId="16" xfId="4" applyFont="1" applyFill="1" applyBorder="1" applyAlignment="1">
      <alignment horizontal="left" vertical="top" wrapText="1"/>
    </xf>
    <xf numFmtId="0" fontId="38" fillId="0" borderId="17" xfId="4" applyFont="1" applyBorder="1" applyAlignment="1">
      <alignment horizontal="left" vertical="top" wrapText="1"/>
    </xf>
    <xf numFmtId="0" fontId="29" fillId="5" borderId="15" xfId="4" applyFont="1" applyFill="1" applyBorder="1" applyAlignment="1">
      <alignment vertical="center" wrapText="1"/>
    </xf>
    <xf numFmtId="0" fontId="29" fillId="5" borderId="15" xfId="0" applyFont="1" applyFill="1" applyBorder="1" applyAlignment="1">
      <alignment vertical="center" wrapText="1"/>
    </xf>
    <xf numFmtId="0" fontId="41" fillId="5" borderId="15" xfId="0" applyFont="1" applyFill="1" applyBorder="1" applyAlignment="1">
      <alignment vertical="top"/>
    </xf>
    <xf numFmtId="0" fontId="26" fillId="5" borderId="18"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20" xfId="0" applyFont="1" applyFill="1" applyBorder="1" applyAlignment="1">
      <alignment horizontal="left" vertical="top" wrapText="1"/>
    </xf>
    <xf numFmtId="0" fontId="58" fillId="9" borderId="18" xfId="0" applyFont="1" applyFill="1" applyBorder="1" applyAlignment="1">
      <alignment horizontal="left" vertical="top" wrapText="1"/>
    </xf>
    <xf numFmtId="0" fontId="58" fillId="9" borderId="16" xfId="0" applyFont="1" applyFill="1" applyBorder="1" applyAlignment="1">
      <alignment horizontal="left" vertical="top" wrapText="1"/>
    </xf>
    <xf numFmtId="0" fontId="58" fillId="9" borderId="20" xfId="0" applyFont="1" applyFill="1" applyBorder="1" applyAlignment="1">
      <alignment horizontal="left" vertical="top" wrapText="1"/>
    </xf>
    <xf numFmtId="0" fontId="26" fillId="5" borderId="15" xfId="0" applyFont="1" applyFill="1" applyBorder="1" applyAlignment="1">
      <alignment horizontal="left" vertical="top" wrapText="1"/>
    </xf>
    <xf numFmtId="0" fontId="58" fillId="8" borderId="18" xfId="0" applyFont="1" applyFill="1" applyBorder="1" applyAlignment="1">
      <alignment horizontal="left" vertical="top" wrapText="1"/>
    </xf>
    <xf numFmtId="0" fontId="58" fillId="8" borderId="16" xfId="0" applyFont="1" applyFill="1" applyBorder="1" applyAlignment="1">
      <alignment horizontal="left" vertical="top" wrapText="1"/>
    </xf>
    <xf numFmtId="0" fontId="58" fillId="8" borderId="16" xfId="0" quotePrefix="1" applyFont="1" applyFill="1" applyBorder="1" applyAlignment="1">
      <alignment horizontal="left" vertical="top" wrapText="1"/>
    </xf>
    <xf numFmtId="0" fontId="58" fillId="8" borderId="20" xfId="0" applyFont="1" applyFill="1" applyBorder="1" applyAlignment="1">
      <alignment horizontal="left" vertical="top" wrapText="1"/>
    </xf>
    <xf numFmtId="0" fontId="26" fillId="5" borderId="15" xfId="0" applyFont="1" applyFill="1" applyBorder="1" applyAlignment="1">
      <alignment horizontal="left"/>
    </xf>
    <xf numFmtId="0" fontId="26" fillId="5" borderId="18" xfId="0" applyFont="1" applyFill="1" applyBorder="1" applyAlignment="1">
      <alignment horizontal="left"/>
    </xf>
    <xf numFmtId="0" fontId="26" fillId="5" borderId="16" xfId="0" applyFont="1" applyFill="1" applyBorder="1" applyAlignment="1">
      <alignment horizontal="left"/>
    </xf>
    <xf numFmtId="0" fontId="26" fillId="5" borderId="20" xfId="0" applyFont="1" applyFill="1" applyBorder="1" applyAlignment="1">
      <alignment horizontal="left"/>
    </xf>
    <xf numFmtId="0" fontId="43" fillId="0" borderId="24" xfId="0" applyFont="1" applyBorder="1" applyAlignment="1">
      <alignment horizontal="left"/>
    </xf>
    <xf numFmtId="0" fontId="43" fillId="0" borderId="17" xfId="0" applyFont="1" applyBorder="1" applyAlignment="1">
      <alignment horizontal="left"/>
    </xf>
    <xf numFmtId="0" fontId="43" fillId="0" borderId="25" xfId="0" applyFont="1" applyBorder="1" applyAlignment="1">
      <alignment horizontal="left"/>
    </xf>
    <xf numFmtId="0" fontId="26" fillId="5" borderId="28" xfId="0" applyFont="1" applyFill="1" applyBorder="1" applyAlignment="1">
      <alignment horizontal="left"/>
    </xf>
    <xf numFmtId="0" fontId="26" fillId="5" borderId="29" xfId="0" applyFont="1" applyFill="1" applyBorder="1" applyAlignment="1">
      <alignment horizontal="left"/>
    </xf>
    <xf numFmtId="0" fontId="26" fillId="5" borderId="24" xfId="0" applyFont="1" applyFill="1" applyBorder="1" applyAlignment="1">
      <alignment horizontal="left"/>
    </xf>
    <xf numFmtId="0" fontId="26" fillId="5" borderId="23" xfId="0" applyFont="1" applyFill="1" applyBorder="1" applyAlignment="1">
      <alignment horizontal="left" vertical="center" wrapText="1"/>
    </xf>
    <xf numFmtId="0" fontId="26" fillId="5" borderId="30" xfId="0" applyFont="1" applyFill="1" applyBorder="1" applyAlignment="1">
      <alignment horizontal="left" vertical="center" wrapText="1"/>
    </xf>
    <xf numFmtId="0" fontId="26" fillId="5" borderId="31" xfId="0" applyFont="1" applyFill="1" applyBorder="1" applyAlignment="1">
      <alignment horizontal="left"/>
    </xf>
    <xf numFmtId="43" fontId="43" fillId="5" borderId="32" xfId="7" applyFont="1" applyFill="1" applyBorder="1" applyAlignment="1">
      <alignment wrapText="1"/>
    </xf>
    <xf numFmtId="0" fontId="26" fillId="5" borderId="24" xfId="0" applyFont="1" applyFill="1" applyBorder="1" applyAlignment="1">
      <alignment wrapText="1"/>
    </xf>
    <xf numFmtId="0" fontId="26" fillId="5" borderId="31" xfId="0" applyFont="1" applyFill="1" applyBorder="1" applyAlignment="1">
      <alignment wrapText="1"/>
    </xf>
    <xf numFmtId="43" fontId="26" fillId="5" borderId="32" xfId="7" applyFont="1" applyFill="1" applyBorder="1" applyAlignment="1">
      <alignment horizontal="right" wrapText="1"/>
    </xf>
    <xf numFmtId="0" fontId="26" fillId="5" borderId="36" xfId="0" applyFont="1" applyFill="1" applyBorder="1" applyAlignment="1">
      <alignment horizontal="left" vertical="center" wrapText="1"/>
    </xf>
    <xf numFmtId="43" fontId="43" fillId="5" borderId="31" xfId="7" applyFont="1" applyFill="1" applyBorder="1" applyAlignment="1">
      <alignment wrapText="1"/>
    </xf>
    <xf numFmtId="0" fontId="43" fillId="0" borderId="17" xfId="0" applyFont="1" applyBorder="1"/>
    <xf numFmtId="0" fontId="43" fillId="0" borderId="25" xfId="0" applyFont="1" applyBorder="1"/>
    <xf numFmtId="0" fontId="26" fillId="5" borderId="30" xfId="0" applyFont="1" applyFill="1" applyBorder="1" applyAlignment="1">
      <alignment vertical="center" wrapText="1"/>
    </xf>
    <xf numFmtId="43" fontId="26" fillId="5" borderId="31" xfId="7" applyFont="1" applyFill="1" applyBorder="1" applyAlignment="1">
      <alignment horizontal="right" wrapText="1"/>
    </xf>
    <xf numFmtId="0" fontId="43" fillId="0" borderId="24" xfId="0" applyFont="1" applyBorder="1" applyAlignment="1">
      <alignment horizontal="left" wrapText="1"/>
    </xf>
    <xf numFmtId="0" fontId="43" fillId="0" borderId="17" xfId="0" applyFont="1" applyBorder="1" applyAlignment="1">
      <alignment wrapText="1"/>
    </xf>
    <xf numFmtId="0" fontId="43" fillId="0" borderId="25" xfId="0" applyFont="1" applyBorder="1" applyAlignment="1">
      <alignment wrapText="1"/>
    </xf>
    <xf numFmtId="0" fontId="58" fillId="9" borderId="35" xfId="0" applyFont="1" applyFill="1" applyBorder="1" applyAlignment="1">
      <alignment wrapText="1"/>
    </xf>
    <xf numFmtId="43" fontId="58" fillId="9" borderId="31" xfId="7" applyFont="1" applyFill="1" applyBorder="1" applyAlignment="1">
      <alignment horizontal="right"/>
    </xf>
    <xf numFmtId="43" fontId="58" fillId="9" borderId="3" xfId="7" applyFont="1" applyFill="1" applyBorder="1" applyAlignment="1">
      <alignment horizontal="right"/>
    </xf>
    <xf numFmtId="43" fontId="58" fillId="9" borderId="32" xfId="7" applyFont="1" applyFill="1" applyBorder="1" applyAlignment="1">
      <alignment horizontal="right"/>
    </xf>
    <xf numFmtId="43" fontId="58" fillId="9" borderId="31" xfId="7" applyFont="1" applyFill="1" applyBorder="1" applyAlignment="1">
      <alignment horizontal="right" wrapText="1"/>
    </xf>
    <xf numFmtId="43" fontId="58" fillId="9" borderId="3" xfId="7" applyFont="1" applyFill="1" applyBorder="1" applyAlignment="1">
      <alignment horizontal="right" wrapText="1"/>
    </xf>
    <xf numFmtId="43" fontId="58" fillId="9" borderId="32" xfId="7" applyFont="1" applyFill="1" applyBorder="1" applyAlignment="1">
      <alignment horizontal="right" wrapText="1"/>
    </xf>
    <xf numFmtId="0" fontId="58" fillId="9" borderId="31" xfId="0" applyFont="1" applyFill="1" applyBorder="1" applyAlignment="1">
      <alignment wrapText="1"/>
    </xf>
    <xf numFmtId="0" fontId="26" fillId="6" borderId="18" xfId="0" applyFont="1" applyFill="1" applyBorder="1" applyAlignment="1">
      <alignment horizontal="left" vertical="center"/>
    </xf>
    <xf numFmtId="0" fontId="58" fillId="6" borderId="16" xfId="0" applyFont="1" applyFill="1" applyBorder="1" applyAlignment="1">
      <alignment horizontal="left" vertical="center"/>
    </xf>
    <xf numFmtId="0" fontId="26" fillId="6" borderId="16" xfId="0" applyFont="1" applyFill="1" applyBorder="1" applyAlignment="1">
      <alignment horizontal="left" vertical="center"/>
    </xf>
    <xf numFmtId="0" fontId="26" fillId="6" borderId="20" xfId="0" applyFont="1" applyFill="1" applyBorder="1" applyAlignment="1">
      <alignment horizontal="left" vertical="center"/>
    </xf>
    <xf numFmtId="0" fontId="29" fillId="5" borderId="15" xfId="0" applyFont="1" applyFill="1" applyBorder="1" applyAlignment="1">
      <alignment horizontal="left" vertical="center" wrapText="1"/>
    </xf>
    <xf numFmtId="0" fontId="26" fillId="5" borderId="18" xfId="3" applyFont="1" applyFill="1" applyBorder="1" applyAlignment="1">
      <alignment horizontal="left" vertical="center"/>
    </xf>
    <xf numFmtId="0" fontId="26" fillId="5" borderId="21" xfId="0" applyFont="1" applyFill="1" applyBorder="1" applyAlignment="1">
      <alignment horizontal="left"/>
    </xf>
    <xf numFmtId="0" fontId="26" fillId="5" borderId="22" xfId="0" applyFont="1" applyFill="1" applyBorder="1" applyAlignment="1">
      <alignment horizontal="left"/>
    </xf>
    <xf numFmtId="0" fontId="63" fillId="9" borderId="18" xfId="0" applyFont="1" applyFill="1" applyBorder="1" applyAlignment="1">
      <alignment horizontal="left" vertical="center"/>
    </xf>
    <xf numFmtId="0" fontId="63" fillId="9" borderId="21" xfId="0" applyFont="1" applyFill="1" applyBorder="1" applyAlignment="1">
      <alignment horizontal="left" vertical="center"/>
    </xf>
    <xf numFmtId="3" fontId="63" fillId="9" borderId="16" xfId="0" applyNumberFormat="1" applyFont="1" applyFill="1" applyBorder="1" applyAlignment="1">
      <alignment wrapText="1"/>
    </xf>
    <xf numFmtId="3" fontId="63" fillId="9" borderId="22" xfId="0" applyNumberFormat="1" applyFont="1" applyFill="1" applyBorder="1" applyAlignment="1">
      <alignment wrapText="1"/>
    </xf>
    <xf numFmtId="0" fontId="58" fillId="9" borderId="16" xfId="0" applyFont="1" applyFill="1" applyBorder="1" applyAlignment="1">
      <alignment horizontal="left" vertical="center"/>
    </xf>
    <xf numFmtId="0" fontId="63" fillId="9" borderId="16" xfId="0" applyFont="1" applyFill="1" applyBorder="1" applyAlignment="1">
      <alignment horizontal="left" vertical="center"/>
    </xf>
    <xf numFmtId="0" fontId="63" fillId="9" borderId="22" xfId="0" applyFont="1" applyFill="1" applyBorder="1" applyAlignment="1">
      <alignment horizontal="left" vertical="center"/>
    </xf>
    <xf numFmtId="0" fontId="58" fillId="9" borderId="21" xfId="0" applyFont="1" applyFill="1" applyBorder="1" applyAlignment="1">
      <alignment horizontal="left" vertical="center"/>
    </xf>
    <xf numFmtId="0" fontId="63" fillId="9" borderId="20" xfId="0" applyFont="1" applyFill="1" applyBorder="1" applyAlignment="1">
      <alignment horizontal="left" vertical="center"/>
    </xf>
    <xf numFmtId="0" fontId="26" fillId="5" borderId="18" xfId="0" applyFont="1" applyFill="1" applyBorder="1" applyAlignment="1">
      <alignment horizontal="left" vertical="center"/>
    </xf>
    <xf numFmtId="0" fontId="26" fillId="5" borderId="16" xfId="0" applyFont="1" applyFill="1" applyBorder="1" applyAlignment="1">
      <alignment horizontal="left" vertical="center" wrapText="1"/>
    </xf>
    <xf numFmtId="0" fontId="26" fillId="5" borderId="16" xfId="0" applyFont="1" applyFill="1" applyBorder="1" applyAlignment="1">
      <alignment horizontal="right" vertical="center" wrapText="1"/>
    </xf>
    <xf numFmtId="0" fontId="26" fillId="5" borderId="20" xfId="0" applyFont="1" applyFill="1" applyBorder="1" applyAlignment="1">
      <alignment horizontal="right" vertical="center" wrapText="1"/>
    </xf>
    <xf numFmtId="0" fontId="26" fillId="5" borderId="18" xfId="0" applyFont="1" applyFill="1" applyBorder="1" applyAlignment="1">
      <alignment vertical="center"/>
    </xf>
    <xf numFmtId="0" fontId="29" fillId="5" borderId="38" xfId="0" applyFont="1" applyFill="1" applyBorder="1" applyAlignment="1">
      <alignment vertical="center" wrapText="1"/>
    </xf>
    <xf numFmtId="0" fontId="26" fillId="5" borderId="20" xfId="0" applyFont="1" applyFill="1" applyBorder="1" applyAlignment="1">
      <alignment horizontal="left" vertical="center" wrapText="1"/>
    </xf>
    <xf numFmtId="0" fontId="29" fillId="5" borderId="16" xfId="0" applyFont="1" applyFill="1" applyBorder="1" applyAlignment="1">
      <alignment horizontal="left" vertical="center" wrapText="1"/>
    </xf>
    <xf numFmtId="0" fontId="26" fillId="5" borderId="15" xfId="0" applyFont="1" applyFill="1" applyBorder="1" applyAlignment="1">
      <alignment vertical="center"/>
    </xf>
    <xf numFmtId="0" fontId="29" fillId="5" borderId="15" xfId="0" applyFont="1" applyFill="1" applyBorder="1"/>
    <xf numFmtId="0" fontId="26" fillId="5" borderId="26"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27" xfId="0" applyFont="1" applyFill="1" applyBorder="1" applyAlignment="1">
      <alignment horizontal="left" vertical="center" wrapText="1"/>
    </xf>
    <xf numFmtId="0" fontId="29" fillId="5" borderId="39" xfId="0" applyFont="1" applyFill="1" applyBorder="1" applyAlignment="1">
      <alignment vertical="center" wrapText="1"/>
    </xf>
    <xf numFmtId="0" fontId="29" fillId="5" borderId="40" xfId="0" applyFont="1" applyFill="1" applyBorder="1" applyAlignment="1">
      <alignment vertical="center" wrapText="1"/>
    </xf>
    <xf numFmtId="0" fontId="26" fillId="5" borderId="18" xfId="0" applyFont="1" applyFill="1" applyBorder="1" applyAlignment="1">
      <alignment horizontal="left" vertical="center" wrapText="1"/>
    </xf>
    <xf numFmtId="0" fontId="26" fillId="5" borderId="18" xfId="0" applyFont="1" applyFill="1" applyBorder="1" applyAlignment="1">
      <alignment horizontal="right" vertical="center" wrapText="1"/>
    </xf>
    <xf numFmtId="0" fontId="29" fillId="5" borderId="18"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18" xfId="0" applyFont="1" applyFill="1" applyBorder="1" applyAlignment="1">
      <alignment vertical="center" wrapText="1"/>
    </xf>
    <xf numFmtId="0" fontId="29" fillId="5" borderId="16" xfId="0" applyFont="1" applyFill="1" applyBorder="1" applyAlignment="1">
      <alignment vertical="center" wrapText="1"/>
    </xf>
    <xf numFmtId="0" fontId="29" fillId="5" borderId="20" xfId="0" applyFont="1" applyFill="1" applyBorder="1" applyAlignment="1">
      <alignment vertical="center" wrapText="1"/>
    </xf>
    <xf numFmtId="0" fontId="43" fillId="9" borderId="16" xfId="0" applyFont="1" applyFill="1" applyBorder="1" applyAlignment="1">
      <alignment vertical="center"/>
    </xf>
    <xf numFmtId="2" fontId="43" fillId="9" borderId="18" xfId="0" applyNumberFormat="1" applyFont="1" applyFill="1" applyBorder="1" applyAlignment="1">
      <alignment vertical="center"/>
    </xf>
    <xf numFmtId="2" fontId="43" fillId="9" borderId="16" xfId="0" applyNumberFormat="1" applyFont="1" applyFill="1" applyBorder="1" applyAlignment="1">
      <alignment vertical="center"/>
    </xf>
    <xf numFmtId="2" fontId="43" fillId="9" borderId="20" xfId="0" applyNumberFormat="1" applyFont="1" applyFill="1" applyBorder="1" applyAlignment="1">
      <alignment vertical="center"/>
    </xf>
    <xf numFmtId="0" fontId="43" fillId="9" borderId="18" xfId="0" applyFont="1" applyFill="1" applyBorder="1" applyAlignment="1">
      <alignment vertical="center"/>
    </xf>
    <xf numFmtId="2" fontId="43" fillId="9" borderId="18" xfId="0" applyNumberFormat="1" applyFont="1" applyFill="1" applyBorder="1" applyAlignment="1">
      <alignment horizontal="right" vertical="center"/>
    </xf>
    <xf numFmtId="2" fontId="43" fillId="9" borderId="16" xfId="0" applyNumberFormat="1" applyFont="1" applyFill="1" applyBorder="1" applyAlignment="1">
      <alignment horizontal="right" vertical="center"/>
    </xf>
    <xf numFmtId="2" fontId="43" fillId="9" borderId="20" xfId="0" applyNumberFormat="1" applyFont="1" applyFill="1" applyBorder="1" applyAlignment="1">
      <alignment horizontal="right" vertical="center"/>
    </xf>
    <xf numFmtId="0" fontId="29" fillId="5" borderId="6" xfId="0" applyFont="1" applyFill="1" applyBorder="1"/>
    <xf numFmtId="0" fontId="58" fillId="9" borderId="9" xfId="0" applyFont="1" applyFill="1" applyBorder="1" applyAlignment="1">
      <alignment horizontal="left"/>
    </xf>
    <xf numFmtId="43" fontId="58" fillId="9" borderId="9" xfId="7" applyFont="1" applyFill="1" applyBorder="1"/>
    <xf numFmtId="0" fontId="29" fillId="5" borderId="44" xfId="0" applyFont="1" applyFill="1" applyBorder="1" applyAlignment="1">
      <alignment vertical="center" wrapText="1"/>
    </xf>
    <xf numFmtId="0" fontId="29" fillId="5" borderId="45" xfId="0" applyFont="1" applyFill="1" applyBorder="1" applyAlignment="1">
      <alignment vertical="center" wrapText="1"/>
    </xf>
    <xf numFmtId="0" fontId="29" fillId="5" borderId="46" xfId="0" applyFont="1" applyFill="1" applyBorder="1" applyAlignment="1">
      <alignment vertical="center" wrapText="1"/>
    </xf>
    <xf numFmtId="0" fontId="29" fillId="5" borderId="28" xfId="0" applyFont="1" applyFill="1" applyBorder="1" applyAlignment="1">
      <alignment vertical="center" wrapText="1"/>
    </xf>
    <xf numFmtId="0" fontId="29" fillId="5" borderId="29" xfId="0" applyFont="1" applyFill="1" applyBorder="1" applyAlignment="1">
      <alignment vertical="center" wrapText="1"/>
    </xf>
    <xf numFmtId="0" fontId="58" fillId="9" borderId="18" xfId="0" applyFont="1" applyFill="1" applyBorder="1" applyAlignment="1">
      <alignment vertical="center"/>
    </xf>
    <xf numFmtId="2" fontId="58" fillId="9" borderId="18" xfId="0" applyNumberFormat="1" applyFont="1" applyFill="1" applyBorder="1" applyAlignment="1">
      <alignment vertical="center"/>
    </xf>
    <xf numFmtId="2" fontId="58" fillId="9" borderId="16" xfId="0" applyNumberFormat="1" applyFont="1" applyFill="1" applyBorder="1" applyAlignment="1">
      <alignment vertical="center"/>
    </xf>
    <xf numFmtId="2" fontId="58" fillId="9" borderId="20" xfId="0" applyNumberFormat="1" applyFont="1" applyFill="1" applyBorder="1" applyAlignment="1">
      <alignment vertical="center"/>
    </xf>
    <xf numFmtId="2" fontId="58" fillId="9" borderId="20" xfId="0" applyNumberFormat="1" applyFont="1" applyFill="1" applyBorder="1" applyAlignment="1">
      <alignment horizontal="right" vertical="top"/>
    </xf>
    <xf numFmtId="0" fontId="58" fillId="9" borderId="16" xfId="0" applyFont="1" applyFill="1" applyBorder="1" applyAlignment="1">
      <alignment vertical="center"/>
    </xf>
    <xf numFmtId="2" fontId="58" fillId="9" borderId="18" xfId="0" applyNumberFormat="1" applyFont="1" applyFill="1" applyBorder="1"/>
    <xf numFmtId="2" fontId="58" fillId="9" borderId="16" xfId="0" applyNumberFormat="1" applyFont="1" applyFill="1" applyBorder="1"/>
    <xf numFmtId="2" fontId="58" fillId="9" borderId="20" xfId="0" applyNumberFormat="1" applyFont="1" applyFill="1" applyBorder="1"/>
    <xf numFmtId="0" fontId="58" fillId="9" borderId="16" xfId="0" applyFont="1" applyFill="1" applyBorder="1" applyAlignment="1">
      <alignment horizontal="left"/>
    </xf>
    <xf numFmtId="43" fontId="58" fillId="9" borderId="16" xfId="7" applyFont="1" applyFill="1" applyBorder="1"/>
    <xf numFmtId="0" fontId="41" fillId="5" borderId="47" xfId="0" applyFont="1" applyFill="1" applyBorder="1" applyAlignment="1">
      <alignment horizontal="left" vertical="top" wrapText="1"/>
    </xf>
    <xf numFmtId="0" fontId="26" fillId="6" borderId="48" xfId="0" applyFont="1" applyFill="1" applyBorder="1" applyAlignment="1">
      <alignment horizontal="left" vertical="top" wrapText="1"/>
    </xf>
    <xf numFmtId="0" fontId="26" fillId="6" borderId="49" xfId="0" applyFont="1" applyFill="1" applyBorder="1" applyAlignment="1">
      <alignment horizontal="left" vertical="top" wrapText="1"/>
    </xf>
    <xf numFmtId="0" fontId="15" fillId="6" borderId="20" xfId="0" applyFont="1" applyFill="1" applyBorder="1" applyAlignment="1">
      <alignment vertical="top" wrapText="1"/>
    </xf>
    <xf numFmtId="0" fontId="4" fillId="5" borderId="15" xfId="0" applyFont="1" applyFill="1" applyBorder="1"/>
    <xf numFmtId="0" fontId="4" fillId="5" borderId="15" xfId="0" applyFont="1" applyFill="1" applyBorder="1" applyAlignment="1">
      <alignment wrapText="1"/>
    </xf>
    <xf numFmtId="0" fontId="26" fillId="5" borderId="15" xfId="0" applyFont="1" applyFill="1" applyBorder="1" applyAlignment="1">
      <alignment vertical="top"/>
    </xf>
    <xf numFmtId="0" fontId="63" fillId="9" borderId="18" xfId="0" applyFont="1" applyFill="1" applyBorder="1" applyAlignment="1">
      <alignment horizontal="left" vertical="top" wrapText="1"/>
    </xf>
    <xf numFmtId="0" fontId="41" fillId="5" borderId="6" xfId="0" applyFont="1" applyFill="1" applyBorder="1" applyAlignment="1">
      <alignment horizontal="left" vertical="top" wrapText="1"/>
    </xf>
    <xf numFmtId="0" fontId="29" fillId="5" borderId="15" xfId="0" applyFont="1" applyFill="1" applyBorder="1" applyAlignment="1">
      <alignment horizontal="left" wrapText="1"/>
    </xf>
    <xf numFmtId="0" fontId="26" fillId="5" borderId="15" xfId="0" quotePrefix="1" applyFont="1" applyFill="1" applyBorder="1" applyAlignment="1">
      <alignment horizontal="left" wrapText="1"/>
    </xf>
    <xf numFmtId="0" fontId="26" fillId="6" borderId="18" xfId="0" applyFont="1" applyFill="1" applyBorder="1" applyAlignment="1">
      <alignment horizontal="left" wrapText="1"/>
    </xf>
    <xf numFmtId="0" fontId="26" fillId="6" borderId="21" xfId="0" applyFont="1" applyFill="1" applyBorder="1" applyAlignment="1">
      <alignment horizontal="left" wrapText="1"/>
    </xf>
    <xf numFmtId="0" fontId="26" fillId="6" borderId="51" xfId="0" applyFont="1" applyFill="1" applyBorder="1" applyAlignment="1">
      <alignment horizontal="left" wrapText="1"/>
    </xf>
    <xf numFmtId="0" fontId="26" fillId="6" borderId="15" xfId="0" applyFont="1" applyFill="1" applyBorder="1" applyAlignment="1">
      <alignment horizontal="left" wrapText="1"/>
    </xf>
    <xf numFmtId="0" fontId="29" fillId="5" borderId="15" xfId="0" quotePrefix="1" applyFont="1" applyFill="1" applyBorder="1" applyAlignment="1">
      <alignment vertical="center" wrapText="1"/>
    </xf>
    <xf numFmtId="0" fontId="26" fillId="6" borderId="20" xfId="0" applyFont="1" applyFill="1" applyBorder="1" applyAlignment="1">
      <alignment horizontal="center" wrapText="1"/>
    </xf>
    <xf numFmtId="0" fontId="26" fillId="6" borderId="16" xfId="0" applyFont="1" applyFill="1" applyBorder="1" applyAlignment="1">
      <alignment horizontal="center" wrapText="1"/>
    </xf>
    <xf numFmtId="0" fontId="26" fillId="6" borderId="18" xfId="0" applyFont="1" applyFill="1" applyBorder="1" applyAlignment="1">
      <alignment horizontal="center" wrapText="1"/>
    </xf>
    <xf numFmtId="0" fontId="63" fillId="9" borderId="18" xfId="0" applyFont="1" applyFill="1" applyBorder="1" applyAlignment="1">
      <alignment horizontal="right" vertical="center" wrapText="1"/>
    </xf>
    <xf numFmtId="0" fontId="63" fillId="9" borderId="16" xfId="0" applyFont="1" applyFill="1" applyBorder="1" applyAlignment="1">
      <alignment horizontal="right" vertical="center" wrapText="1"/>
    </xf>
    <xf numFmtId="0" fontId="63" fillId="9" borderId="20" xfId="0" applyFont="1" applyFill="1" applyBorder="1" applyAlignment="1">
      <alignment horizontal="right" vertical="center" wrapText="1"/>
    </xf>
    <xf numFmtId="9" fontId="63" fillId="9" borderId="18" xfId="0" applyNumberFormat="1" applyFont="1" applyFill="1" applyBorder="1" applyAlignment="1">
      <alignment horizontal="right" vertical="center" wrapText="1"/>
    </xf>
    <xf numFmtId="9" fontId="63" fillId="9" borderId="20" xfId="0" applyNumberFormat="1" applyFont="1" applyFill="1" applyBorder="1" applyAlignment="1">
      <alignment horizontal="right" vertical="center" wrapText="1"/>
    </xf>
    <xf numFmtId="9" fontId="63" fillId="9" borderId="16" xfId="0" applyNumberFormat="1" applyFont="1" applyFill="1" applyBorder="1" applyAlignment="1">
      <alignment horizontal="right" vertical="center" wrapText="1"/>
    </xf>
    <xf numFmtId="0" fontId="63" fillId="9" borderId="20" xfId="0" quotePrefix="1" applyFont="1" applyFill="1" applyBorder="1" applyAlignment="1">
      <alignment horizontal="right" vertical="center" wrapText="1"/>
    </xf>
    <xf numFmtId="0" fontId="63" fillId="9" borderId="18" xfId="0" applyFont="1" applyFill="1" applyBorder="1" applyAlignment="1">
      <alignment vertical="center" wrapText="1"/>
    </xf>
    <xf numFmtId="0" fontId="63" fillId="9" borderId="18" xfId="0" applyFont="1" applyFill="1" applyBorder="1" applyAlignment="1">
      <alignment horizontal="left" vertical="center" wrapText="1"/>
    </xf>
    <xf numFmtId="0" fontId="63" fillId="9" borderId="20" xfId="0" applyFont="1" applyFill="1" applyBorder="1" applyAlignment="1">
      <alignment horizontal="left" vertical="top" wrapText="1"/>
    </xf>
    <xf numFmtId="0" fontId="63" fillId="9" borderId="18" xfId="0" applyFont="1" applyFill="1" applyBorder="1" applyAlignment="1">
      <alignment horizontal="right" vertical="top" wrapText="1"/>
    </xf>
    <xf numFmtId="0" fontId="63" fillId="9" borderId="20" xfId="0" applyFont="1" applyFill="1" applyBorder="1" applyAlignment="1">
      <alignment horizontal="right" vertical="top" wrapText="1"/>
    </xf>
    <xf numFmtId="0" fontId="63" fillId="9" borderId="16" xfId="0" applyFont="1" applyFill="1" applyBorder="1" applyAlignment="1">
      <alignment horizontal="right" vertical="top" wrapText="1"/>
    </xf>
    <xf numFmtId="0" fontId="58" fillId="9" borderId="16" xfId="0" applyFont="1" applyFill="1" applyBorder="1" applyAlignment="1">
      <alignment horizontal="right" vertical="top" wrapText="1"/>
    </xf>
    <xf numFmtId="0" fontId="58" fillId="9" borderId="20" xfId="0" applyFont="1" applyFill="1" applyBorder="1" applyAlignment="1">
      <alignment horizontal="right" vertical="top" wrapText="1"/>
    </xf>
    <xf numFmtId="0" fontId="63" fillId="9" borderId="16" xfId="0" applyFont="1" applyFill="1" applyBorder="1" applyAlignment="1">
      <alignment horizontal="left" vertical="center" wrapText="1"/>
    </xf>
    <xf numFmtId="0" fontId="63" fillId="9" borderId="16" xfId="0" quotePrefix="1" applyFont="1" applyFill="1" applyBorder="1" applyAlignment="1">
      <alignment horizontal="right" vertical="center" wrapText="1"/>
    </xf>
    <xf numFmtId="0" fontId="63" fillId="9" borderId="16" xfId="0" applyFont="1" applyFill="1" applyBorder="1" applyAlignment="1">
      <alignment vertical="center" wrapText="1"/>
    </xf>
    <xf numFmtId="0" fontId="58" fillId="9" borderId="16" xfId="0" applyFont="1" applyFill="1" applyBorder="1" applyAlignment="1">
      <alignment horizontal="right" vertical="center" wrapText="1"/>
    </xf>
    <xf numFmtId="0" fontId="26" fillId="7" borderId="18" xfId="0" applyFont="1" applyFill="1" applyBorder="1" applyAlignment="1">
      <alignment vertical="center" wrapText="1"/>
    </xf>
    <xf numFmtId="0" fontId="26" fillId="7" borderId="16" xfId="0" applyFont="1" applyFill="1" applyBorder="1" applyAlignment="1">
      <alignment horizontal="left" wrapText="1"/>
    </xf>
    <xf numFmtId="0" fontId="26" fillId="7" borderId="20" xfId="0" applyFont="1" applyFill="1" applyBorder="1" applyAlignment="1">
      <alignment horizontal="left" wrapText="1"/>
    </xf>
    <xf numFmtId="0" fontId="26" fillId="7" borderId="16" xfId="0" applyFont="1" applyFill="1" applyBorder="1" applyAlignment="1">
      <alignment horizontal="left" vertical="center" wrapText="1"/>
    </xf>
    <xf numFmtId="0" fontId="26" fillId="7" borderId="20" xfId="0" applyFont="1" applyFill="1" applyBorder="1" applyAlignment="1">
      <alignment horizontal="left" vertical="center" wrapText="1"/>
    </xf>
    <xf numFmtId="165" fontId="63" fillId="9" borderId="16" xfId="7" applyNumberFormat="1" applyFont="1" applyFill="1" applyBorder="1" applyAlignment="1">
      <alignment vertical="top" wrapText="1"/>
    </xf>
    <xf numFmtId="165" fontId="63" fillId="9" borderId="20" xfId="7" applyNumberFormat="1" applyFont="1" applyFill="1" applyBorder="1" applyAlignment="1">
      <alignment vertical="top" wrapText="1"/>
    </xf>
    <xf numFmtId="165" fontId="63" fillId="9" borderId="18" xfId="7" applyNumberFormat="1" applyFont="1" applyFill="1" applyBorder="1" applyAlignment="1">
      <alignment vertical="top" wrapText="1"/>
    </xf>
    <xf numFmtId="0" fontId="58" fillId="11" borderId="18" xfId="0" applyFont="1" applyFill="1" applyBorder="1" applyAlignment="1">
      <alignment vertical="center" wrapText="1"/>
    </xf>
    <xf numFmtId="0" fontId="58" fillId="11" borderId="16" xfId="0" applyFont="1" applyFill="1" applyBorder="1" applyAlignment="1">
      <alignment vertical="center" wrapText="1"/>
    </xf>
    <xf numFmtId="0" fontId="58" fillId="11" borderId="20" xfId="0" applyFont="1" applyFill="1" applyBorder="1" applyAlignment="1">
      <alignment vertical="center" wrapText="1"/>
    </xf>
    <xf numFmtId="9" fontId="58" fillId="11" borderId="16" xfId="1" applyFont="1" applyFill="1" applyBorder="1" applyAlignment="1">
      <alignment vertical="center" wrapText="1"/>
    </xf>
    <xf numFmtId="0" fontId="64" fillId="9" borderId="16" xfId="0" applyFont="1" applyFill="1" applyBorder="1" applyAlignment="1">
      <alignment horizontal="right" vertical="top" wrapText="1"/>
    </xf>
    <xf numFmtId="0" fontId="64" fillId="9" borderId="16" xfId="0" quotePrefix="1" applyFont="1" applyFill="1" applyBorder="1" applyAlignment="1">
      <alignment horizontal="right" wrapText="1"/>
    </xf>
    <xf numFmtId="0" fontId="41" fillId="5" borderId="6" xfId="0" applyFont="1" applyFill="1" applyBorder="1" applyAlignment="1">
      <alignment horizontal="left" wrapText="1"/>
    </xf>
    <xf numFmtId="0" fontId="26" fillId="5" borderId="6" xfId="0" quotePrefix="1" applyFont="1" applyFill="1" applyBorder="1" applyAlignment="1">
      <alignment horizontal="left" wrapText="1"/>
    </xf>
    <xf numFmtId="0" fontId="26" fillId="5" borderId="53" xfId="0" quotePrefix="1" applyFont="1" applyFill="1" applyBorder="1" applyAlignment="1">
      <alignment horizontal="left" wrapText="1"/>
    </xf>
    <xf numFmtId="0" fontId="41" fillId="5" borderId="14" xfId="0" applyFont="1" applyFill="1" applyBorder="1" applyAlignment="1">
      <alignment horizontal="left" wrapText="1"/>
    </xf>
    <xf numFmtId="0" fontId="41" fillId="0" borderId="9" xfId="0" applyFont="1" applyBorder="1" applyAlignment="1">
      <alignment horizontal="left" vertical="top" wrapText="1" indent="1"/>
    </xf>
    <xf numFmtId="0" fontId="36" fillId="0" borderId="9" xfId="0" quotePrefix="1" applyFont="1" applyBorder="1" applyAlignment="1">
      <alignment horizontal="right" wrapText="1"/>
    </xf>
    <xf numFmtId="0" fontId="36" fillId="0" borderId="9" xfId="0" applyFont="1" applyBorder="1" applyAlignment="1">
      <alignment horizontal="right" vertical="top" wrapText="1"/>
    </xf>
    <xf numFmtId="0" fontId="26" fillId="5" borderId="54" xfId="0" applyFont="1" applyFill="1" applyBorder="1" applyAlignment="1">
      <alignment horizontal="left" vertical="center"/>
    </xf>
    <xf numFmtId="0" fontId="26" fillId="5" borderId="6" xfId="0" applyFont="1" applyFill="1" applyBorder="1" applyAlignment="1">
      <alignment horizontal="left" vertical="center"/>
    </xf>
    <xf numFmtId="0" fontId="26" fillId="5" borderId="55" xfId="0" applyFont="1" applyFill="1" applyBorder="1" applyAlignment="1">
      <alignment horizontal="left" vertical="center"/>
    </xf>
    <xf numFmtId="0" fontId="26" fillId="5" borderId="56" xfId="0" applyFont="1" applyFill="1" applyBorder="1" applyAlignment="1">
      <alignment horizontal="left" vertical="center"/>
    </xf>
    <xf numFmtId="0" fontId="26" fillId="5" borderId="57"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9" xfId="0" applyFont="1" applyFill="1" applyBorder="1" applyAlignment="1">
      <alignment horizontal="left" vertical="center"/>
    </xf>
    <xf numFmtId="0" fontId="26" fillId="5" borderId="12" xfId="0" applyFont="1" applyFill="1" applyBorder="1" applyAlignment="1">
      <alignment horizontal="left" vertical="center"/>
    </xf>
    <xf numFmtId="0" fontId="63" fillId="9" borderId="9" xfId="0" applyFont="1" applyFill="1" applyBorder="1" applyAlignment="1">
      <alignment horizontal="left" vertical="top" wrapText="1"/>
    </xf>
    <xf numFmtId="0" fontId="63" fillId="9" borderId="9" xfId="0" applyFont="1" applyFill="1" applyBorder="1" applyAlignment="1">
      <alignment horizontal="right" vertical="top" wrapText="1"/>
    </xf>
    <xf numFmtId="0" fontId="26" fillId="5" borderId="16" xfId="0" applyFont="1" applyFill="1" applyBorder="1" applyAlignment="1">
      <alignment horizontal="left" vertical="center"/>
    </xf>
    <xf numFmtId="0" fontId="26" fillId="5" borderId="20" xfId="0" applyFont="1" applyFill="1" applyBorder="1" applyAlignment="1">
      <alignment horizontal="left" vertical="center"/>
    </xf>
    <xf numFmtId="0" fontId="29" fillId="5" borderId="15" xfId="0" applyFont="1" applyFill="1" applyBorder="1" applyAlignment="1">
      <alignment vertical="center"/>
    </xf>
    <xf numFmtId="0" fontId="26" fillId="5" borderId="15" xfId="0" applyFont="1" applyFill="1" applyBorder="1" applyAlignment="1">
      <alignment horizontal="left" vertical="center" wrapText="1"/>
    </xf>
    <xf numFmtId="0" fontId="29" fillId="5" borderId="15" xfId="0" applyFont="1" applyFill="1" applyBorder="1" applyAlignment="1">
      <alignment vertical="top"/>
    </xf>
    <xf numFmtId="0" fontId="41" fillId="5" borderId="15" xfId="0" applyFont="1" applyFill="1" applyBorder="1" applyAlignment="1">
      <alignment wrapText="1"/>
    </xf>
    <xf numFmtId="0" fontId="63" fillId="9" borderId="16" xfId="0" applyFont="1" applyFill="1" applyBorder="1" applyAlignment="1">
      <alignment horizontal="left" vertical="top" wrapText="1"/>
    </xf>
    <xf numFmtId="0" fontId="63" fillId="9" borderId="16" xfId="0" quotePrefix="1" applyFont="1" applyFill="1" applyBorder="1" applyAlignment="1">
      <alignment horizontal="left" wrapText="1"/>
    </xf>
    <xf numFmtId="0" fontId="63" fillId="9" borderId="16" xfId="0" quotePrefix="1" applyFont="1" applyFill="1" applyBorder="1" applyAlignment="1">
      <alignment horizontal="right" wrapText="1"/>
    </xf>
    <xf numFmtId="0" fontId="26" fillId="5" borderId="15" xfId="0" applyFont="1" applyFill="1" applyBorder="1" applyAlignment="1">
      <alignment horizontal="left" vertical="center"/>
    </xf>
    <xf numFmtId="0" fontId="26" fillId="5" borderId="58" xfId="0" applyFont="1" applyFill="1" applyBorder="1" applyAlignment="1">
      <alignment horizontal="left" vertical="center"/>
    </xf>
    <xf numFmtId="165" fontId="63" fillId="9" borderId="16" xfId="7" applyNumberFormat="1" applyFont="1" applyFill="1" applyBorder="1" applyAlignment="1">
      <alignment horizontal="left" vertical="center"/>
    </xf>
    <xf numFmtId="165" fontId="63" fillId="9" borderId="16" xfId="7" applyNumberFormat="1" applyFont="1" applyFill="1" applyBorder="1" applyAlignment="1">
      <alignment horizontal="right" vertical="center" wrapText="1"/>
    </xf>
    <xf numFmtId="43" fontId="63" fillId="9" borderId="16" xfId="7" applyFont="1" applyFill="1" applyBorder="1" applyAlignment="1">
      <alignment horizontal="left" vertical="center"/>
    </xf>
    <xf numFmtId="165" fontId="63" fillId="9" borderId="16" xfId="7" applyNumberFormat="1" applyFont="1" applyFill="1" applyBorder="1" applyAlignment="1">
      <alignment horizontal="right" vertical="center"/>
    </xf>
    <xf numFmtId="0" fontId="63" fillId="9" borderId="16" xfId="0" applyFont="1" applyFill="1" applyBorder="1" applyAlignment="1">
      <alignment horizontal="right" vertical="center"/>
    </xf>
    <xf numFmtId="0" fontId="27" fillId="0" borderId="17" xfId="0" applyFont="1" applyBorder="1" applyAlignment="1">
      <alignment vertical="center" wrapText="1"/>
    </xf>
    <xf numFmtId="0" fontId="27" fillId="0" borderId="17" xfId="0" applyFont="1" applyBorder="1" applyAlignment="1">
      <alignment vertical="center"/>
    </xf>
    <xf numFmtId="0" fontId="27" fillId="0" borderId="17" xfId="0" applyFont="1" applyBorder="1" applyAlignment="1">
      <alignment horizontal="left" vertical="center"/>
    </xf>
    <xf numFmtId="0" fontId="26" fillId="6" borderId="18" xfId="0" applyFont="1" applyFill="1" applyBorder="1" applyAlignment="1">
      <alignment vertical="center"/>
    </xf>
    <xf numFmtId="0" fontId="26" fillId="6" borderId="16" xfId="0" applyFont="1" applyFill="1" applyBorder="1" applyAlignment="1">
      <alignment vertical="center"/>
    </xf>
    <xf numFmtId="0" fontId="26" fillId="6" borderId="20" xfId="0" applyFont="1" applyFill="1" applyBorder="1" applyAlignment="1">
      <alignment vertical="center"/>
    </xf>
    <xf numFmtId="0" fontId="27" fillId="0" borderId="18" xfId="0" applyFont="1" applyBorder="1" applyAlignment="1">
      <alignment vertical="center" wrapText="1"/>
    </xf>
    <xf numFmtId="0" fontId="27" fillId="0" borderId="16" xfId="0" applyFont="1" applyBorder="1" applyAlignment="1">
      <alignment vertical="center" wrapText="1"/>
    </xf>
    <xf numFmtId="0" fontId="27" fillId="0" borderId="20" xfId="0" applyFont="1" applyBorder="1" applyAlignment="1">
      <alignment vertical="center" wrapText="1"/>
    </xf>
    <xf numFmtId="0" fontId="27" fillId="0" borderId="20" xfId="0" applyFont="1" applyBorder="1" applyAlignment="1">
      <alignment horizontal="left" vertical="top" wrapText="1"/>
    </xf>
    <xf numFmtId="0" fontId="29" fillId="5" borderId="16" xfId="0" applyFont="1" applyFill="1" applyBorder="1" applyAlignment="1">
      <alignment horizontal="right" vertical="center" wrapText="1"/>
    </xf>
    <xf numFmtId="0" fontId="27" fillId="0" borderId="16" xfId="0" applyFont="1" applyBorder="1" applyAlignment="1">
      <alignment horizontal="left" vertical="top" wrapText="1"/>
    </xf>
    <xf numFmtId="0" fontId="29" fillId="5" borderId="17" xfId="0" applyFont="1" applyFill="1" applyBorder="1" applyAlignment="1">
      <alignment horizontal="right" vertical="top" wrapText="1"/>
    </xf>
    <xf numFmtId="0" fontId="27" fillId="0" borderId="17" xfId="0" quotePrefix="1" applyFont="1" applyBorder="1" applyAlignment="1">
      <alignment horizontal="left" vertical="top" wrapText="1"/>
    </xf>
    <xf numFmtId="0" fontId="26" fillId="5" borderId="15" xfId="0" applyFont="1" applyFill="1" applyBorder="1" applyAlignment="1">
      <alignment vertical="center" wrapText="1"/>
    </xf>
    <xf numFmtId="0" fontId="27" fillId="0" borderId="16" xfId="0" applyFont="1" applyBorder="1" applyAlignment="1">
      <alignment vertical="center"/>
    </xf>
    <xf numFmtId="0" fontId="27" fillId="0" borderId="17" xfId="0" applyFont="1" applyBorder="1" applyAlignment="1">
      <alignment horizontal="left" vertical="top" wrapText="1"/>
    </xf>
    <xf numFmtId="0" fontId="58" fillId="5" borderId="18" xfId="0" applyFont="1" applyFill="1" applyBorder="1" applyAlignment="1">
      <alignment horizontal="left" vertical="top" wrapText="1"/>
    </xf>
    <xf numFmtId="0" fontId="58" fillId="5" borderId="16" xfId="0" applyFont="1" applyFill="1" applyBorder="1" applyAlignment="1">
      <alignment horizontal="left" vertical="top" wrapText="1"/>
    </xf>
    <xf numFmtId="0" fontId="58" fillId="5" borderId="20" xfId="0" applyFont="1" applyFill="1" applyBorder="1" applyAlignment="1">
      <alignment horizontal="left" vertical="top" wrapText="1"/>
    </xf>
    <xf numFmtId="0" fontId="27" fillId="0" borderId="18" xfId="0" applyFont="1" applyBorder="1" applyAlignment="1">
      <alignment horizontal="left" vertical="top" wrapText="1"/>
    </xf>
    <xf numFmtId="0" fontId="27" fillId="0" borderId="16" xfId="0" applyFont="1" applyBorder="1" applyAlignment="1">
      <alignment vertical="top" wrapText="1"/>
    </xf>
    <xf numFmtId="0" fontId="27" fillId="0" borderId="20" xfId="0" applyFont="1" applyBorder="1" applyAlignment="1">
      <alignment vertical="top" wrapText="1"/>
    </xf>
    <xf numFmtId="0" fontId="25" fillId="0" borderId="18" xfId="0" applyFont="1" applyBorder="1" applyAlignment="1">
      <alignment horizontal="left" vertical="top" wrapText="1"/>
    </xf>
    <xf numFmtId="43" fontId="25" fillId="0" borderId="16" xfId="7" applyFont="1" applyFill="1" applyBorder="1" applyAlignment="1">
      <alignment horizontal="right" vertical="top" wrapText="1"/>
    </xf>
    <xf numFmtId="43" fontId="25" fillId="0" borderId="20" xfId="7" applyFont="1" applyFill="1" applyBorder="1" applyAlignment="1">
      <alignment horizontal="right" vertical="top" wrapText="1"/>
    </xf>
    <xf numFmtId="0" fontId="27" fillId="0" borderId="18" xfId="0" applyFont="1" applyBorder="1" applyAlignment="1">
      <alignment horizontal="left" vertical="top" wrapText="1" indent="2"/>
    </xf>
    <xf numFmtId="43" fontId="27" fillId="0" borderId="16" xfId="7" applyFont="1" applyFill="1" applyBorder="1" applyAlignment="1">
      <alignment horizontal="left" vertical="top" wrapText="1"/>
    </xf>
    <xf numFmtId="43" fontId="27" fillId="0" borderId="20" xfId="7" applyFont="1" applyFill="1" applyBorder="1" applyAlignment="1">
      <alignment vertical="top" wrapText="1"/>
    </xf>
    <xf numFmtId="43" fontId="27" fillId="0" borderId="16" xfId="7" applyFont="1" applyFill="1" applyBorder="1" applyAlignment="1">
      <alignment vertical="top" wrapText="1"/>
    </xf>
    <xf numFmtId="0" fontId="58" fillId="5" borderId="15" xfId="0" applyFont="1" applyFill="1" applyBorder="1" applyAlignment="1">
      <alignment horizontal="left" vertical="top" wrapText="1"/>
    </xf>
    <xf numFmtId="2" fontId="27" fillId="0" borderId="16" xfId="0" quotePrefix="1" applyNumberFormat="1" applyFont="1" applyBorder="1" applyAlignment="1">
      <alignment horizontal="right" wrapText="1"/>
    </xf>
    <xf numFmtId="2" fontId="27" fillId="0" borderId="16" xfId="0" applyNumberFormat="1" applyFont="1" applyBorder="1" applyAlignment="1">
      <alignment horizontal="right" vertical="top" wrapText="1"/>
    </xf>
    <xf numFmtId="0" fontId="63" fillId="5" borderId="15" xfId="0" applyFont="1" applyFill="1" applyBorder="1"/>
    <xf numFmtId="0" fontId="27" fillId="0" borderId="16" xfId="0" applyFont="1" applyBorder="1"/>
    <xf numFmtId="43" fontId="27" fillId="0" borderId="16" xfId="0" applyNumberFormat="1" applyFont="1" applyBorder="1"/>
    <xf numFmtId="1" fontId="27" fillId="0" borderId="16" xfId="0" quotePrefix="1" applyNumberFormat="1" applyFont="1" applyBorder="1" applyAlignment="1">
      <alignment horizontal="right" wrapText="1"/>
    </xf>
    <xf numFmtId="0" fontId="27" fillId="0" borderId="17" xfId="0" applyFont="1" applyBorder="1"/>
    <xf numFmtId="43" fontId="27" fillId="0" borderId="16" xfId="7" applyFont="1" applyBorder="1"/>
    <xf numFmtId="0" fontId="27" fillId="0" borderId="18" xfId="0" applyFont="1" applyBorder="1"/>
    <xf numFmtId="43" fontId="27" fillId="0" borderId="20" xfId="7" applyFont="1" applyBorder="1"/>
    <xf numFmtId="0" fontId="26" fillId="6" borderId="15" xfId="0" quotePrefix="1" applyFont="1" applyFill="1" applyBorder="1" applyAlignment="1">
      <alignment horizontal="left" wrapText="1"/>
    </xf>
    <xf numFmtId="2" fontId="27" fillId="0" borderId="16" xfId="0" applyNumberFormat="1" applyFont="1" applyBorder="1" applyAlignment="1">
      <alignment horizontal="right" wrapText="1"/>
    </xf>
    <xf numFmtId="2" fontId="27" fillId="0" borderId="17" xfId="0" applyNumberFormat="1" applyFont="1" applyBorder="1"/>
    <xf numFmtId="43" fontId="27" fillId="0" borderId="0" xfId="0" applyNumberFormat="1" applyFont="1" applyAlignment="1">
      <alignment horizontal="right" wrapText="1"/>
    </xf>
    <xf numFmtId="0" fontId="27" fillId="0" borderId="28" xfId="0" applyFont="1" applyBorder="1"/>
    <xf numFmtId="43" fontId="27" fillId="0" borderId="15" xfId="0" applyNumberFormat="1" applyFont="1" applyBorder="1"/>
    <xf numFmtId="43" fontId="27" fillId="0" borderId="29" xfId="0" applyNumberFormat="1" applyFont="1" applyBorder="1"/>
    <xf numFmtId="2" fontId="27" fillId="0" borderId="0" xfId="0" applyNumberFormat="1" applyFont="1" applyAlignment="1">
      <alignment horizontal="right" wrapText="1"/>
    </xf>
    <xf numFmtId="0" fontId="27" fillId="0" borderId="43" xfId="0" applyFont="1" applyBorder="1" applyAlignment="1">
      <alignment horizontal="left" vertical="top" wrapText="1"/>
    </xf>
    <xf numFmtId="2" fontId="27" fillId="0" borderId="43" xfId="0" applyNumberFormat="1" applyFont="1" applyBorder="1" applyAlignment="1">
      <alignment horizontal="right" wrapText="1"/>
    </xf>
    <xf numFmtId="1" fontId="27" fillId="0" borderId="43" xfId="0" quotePrefix="1" applyNumberFormat="1" applyFont="1" applyBorder="1" applyAlignment="1">
      <alignment horizontal="right" wrapText="1"/>
    </xf>
    <xf numFmtId="164" fontId="27" fillId="0" borderId="43" xfId="0" applyNumberFormat="1" applyFont="1" applyBorder="1" applyAlignment="1">
      <alignment horizontal="right" vertical="top" wrapText="1"/>
    </xf>
    <xf numFmtId="0" fontId="27" fillId="0" borderId="42" xfId="0" applyFont="1" applyBorder="1"/>
    <xf numFmtId="43" fontId="27" fillId="0" borderId="43" xfId="0" applyNumberFormat="1" applyFont="1" applyBorder="1"/>
    <xf numFmtId="164" fontId="27" fillId="0" borderId="41" xfId="0" applyNumberFormat="1" applyFont="1" applyBorder="1" applyAlignment="1">
      <alignment horizontal="right" vertical="top" wrapText="1"/>
    </xf>
    <xf numFmtId="0" fontId="27" fillId="0" borderId="43" xfId="0" applyFont="1" applyBorder="1"/>
    <xf numFmtId="2" fontId="27" fillId="0" borderId="43" xfId="0" quotePrefix="1" applyNumberFormat="1" applyFont="1" applyBorder="1" applyAlignment="1">
      <alignment horizontal="right" wrapText="1"/>
    </xf>
    <xf numFmtId="1" fontId="27" fillId="0" borderId="43" xfId="0" applyNumberFormat="1" applyFont="1" applyBorder="1" applyAlignment="1">
      <alignment horizontal="right" vertical="top" wrapText="1"/>
    </xf>
    <xf numFmtId="0" fontId="25" fillId="0" borderId="0" xfId="0" applyFont="1" applyAlignment="1">
      <alignment horizontal="left" vertical="center" wrapText="1"/>
    </xf>
    <xf numFmtId="0" fontId="25" fillId="0" borderId="0" xfId="0" applyFont="1" applyAlignment="1">
      <alignment vertical="center" wrapText="1"/>
    </xf>
    <xf numFmtId="0" fontId="25" fillId="0" borderId="18" xfId="0" applyFont="1" applyBorder="1" applyAlignment="1">
      <alignment vertical="center" wrapText="1"/>
    </xf>
    <xf numFmtId="9" fontId="25" fillId="2" borderId="16" xfId="1" applyFont="1" applyFill="1" applyBorder="1" applyAlignment="1">
      <alignment vertical="center" wrapText="1"/>
    </xf>
    <xf numFmtId="3" fontId="25" fillId="0" borderId="16" xfId="0" applyNumberFormat="1" applyFont="1" applyBorder="1" applyAlignment="1">
      <alignment vertical="center" wrapText="1"/>
    </xf>
    <xf numFmtId="9" fontId="25" fillId="0" borderId="16" xfId="1" applyFont="1" applyFill="1" applyBorder="1" applyAlignment="1">
      <alignment vertical="center" wrapText="1"/>
    </xf>
    <xf numFmtId="9" fontId="25" fillId="0" borderId="16" xfId="1" applyFont="1" applyBorder="1" applyAlignment="1">
      <alignment vertical="center" wrapText="1"/>
    </xf>
    <xf numFmtId="9" fontId="25" fillId="0" borderId="20" xfId="1" applyFont="1" applyBorder="1" applyAlignment="1">
      <alignment vertical="center" wrapText="1"/>
    </xf>
    <xf numFmtId="0" fontId="27" fillId="0" borderId="18" xfId="0" applyFont="1" applyBorder="1" applyAlignment="1">
      <alignment horizontal="left" vertical="center" wrapText="1" indent="1"/>
    </xf>
    <xf numFmtId="9" fontId="27" fillId="2" borderId="16" xfId="1" applyFont="1" applyFill="1" applyBorder="1" applyAlignment="1">
      <alignment vertical="center" wrapText="1"/>
    </xf>
    <xf numFmtId="3" fontId="27" fillId="0" borderId="16" xfId="0" applyNumberFormat="1" applyFont="1" applyBorder="1" applyAlignment="1">
      <alignment vertical="center" wrapText="1"/>
    </xf>
    <xf numFmtId="9" fontId="27" fillId="0" borderId="16" xfId="1" applyFont="1" applyFill="1" applyBorder="1" applyAlignment="1">
      <alignment vertical="center" wrapText="1"/>
    </xf>
    <xf numFmtId="9" fontId="27" fillId="0" borderId="16" xfId="1" applyFont="1" applyBorder="1" applyAlignment="1">
      <alignment vertical="center" wrapText="1"/>
    </xf>
    <xf numFmtId="3" fontId="27" fillId="0" borderId="16" xfId="0" applyNumberFormat="1" applyFont="1" applyBorder="1" applyAlignment="1">
      <alignment vertical="top" wrapText="1"/>
    </xf>
    <xf numFmtId="9" fontId="27" fillId="0" borderId="20" xfId="1" applyFont="1" applyBorder="1" applyAlignment="1">
      <alignment vertical="center" wrapText="1"/>
    </xf>
    <xf numFmtId="9" fontId="27" fillId="0" borderId="16" xfId="1" applyFont="1" applyFill="1" applyBorder="1" applyAlignment="1">
      <alignment vertical="top" wrapText="1"/>
    </xf>
    <xf numFmtId="9" fontId="27" fillId="0" borderId="16" xfId="1" applyFont="1" applyBorder="1" applyAlignment="1">
      <alignment vertical="top" wrapText="1"/>
    </xf>
    <xf numFmtId="9" fontId="25" fillId="0" borderId="20" xfId="1" applyFont="1" applyFill="1" applyBorder="1" applyAlignment="1">
      <alignment vertical="center" wrapText="1"/>
    </xf>
    <xf numFmtId="0" fontId="25" fillId="0" borderId="24" xfId="0" applyFont="1" applyBorder="1" applyAlignment="1">
      <alignment horizontal="left"/>
    </xf>
    <xf numFmtId="0" fontId="25" fillId="0" borderId="17" xfId="0" applyFont="1" applyBorder="1"/>
    <xf numFmtId="0" fontId="25" fillId="0" borderId="25" xfId="0" applyFont="1" applyBorder="1"/>
    <xf numFmtId="3" fontId="25" fillId="2" borderId="18" xfId="0" applyNumberFormat="1" applyFont="1" applyFill="1" applyBorder="1" applyAlignment="1">
      <alignment vertical="center" wrapText="1"/>
    </xf>
    <xf numFmtId="3" fontId="27" fillId="2" borderId="18" xfId="0" applyNumberFormat="1" applyFont="1" applyFill="1" applyBorder="1" applyAlignment="1">
      <alignment vertical="center" wrapText="1"/>
    </xf>
    <xf numFmtId="9" fontId="27" fillId="0" borderId="20" xfId="1" applyFont="1" applyFill="1" applyBorder="1" applyAlignment="1">
      <alignment vertical="center" wrapText="1"/>
    </xf>
    <xf numFmtId="9" fontId="27" fillId="0" borderId="20" xfId="1" applyFont="1" applyFill="1" applyBorder="1" applyAlignment="1">
      <alignment vertical="top" wrapText="1"/>
    </xf>
    <xf numFmtId="0" fontId="25" fillId="0" borderId="24" xfId="0" applyFont="1" applyBorder="1" applyAlignment="1">
      <alignment horizontal="left" vertical="center" wrapText="1"/>
    </xf>
    <xf numFmtId="0" fontId="25" fillId="0" borderId="17" xfId="0" applyFont="1" applyBorder="1" applyAlignment="1">
      <alignment vertical="center" wrapText="1"/>
    </xf>
    <xf numFmtId="0" fontId="25" fillId="0" borderId="25" xfId="0" applyFont="1" applyBorder="1" applyAlignment="1">
      <alignment vertical="center" wrapText="1"/>
    </xf>
    <xf numFmtId="9" fontId="27" fillId="0" borderId="20" xfId="1" applyFont="1" applyBorder="1" applyAlignment="1">
      <alignment vertical="top" wrapText="1"/>
    </xf>
    <xf numFmtId="0" fontId="25" fillId="0" borderId="28" xfId="6" applyFont="1" applyFill="1" applyBorder="1" applyAlignment="1">
      <alignment vertical="center" wrapText="1"/>
    </xf>
    <xf numFmtId="3" fontId="25" fillId="2" borderId="28" xfId="6" applyNumberFormat="1" applyFont="1" applyFill="1" applyBorder="1" applyAlignment="1">
      <alignment vertical="center" wrapText="1"/>
    </xf>
    <xf numFmtId="9" fontId="25" fillId="2" borderId="15" xfId="6" applyNumberFormat="1" applyFont="1" applyFill="1" applyBorder="1" applyAlignment="1">
      <alignment vertical="center" wrapText="1"/>
    </xf>
    <xf numFmtId="3" fontId="25" fillId="0" borderId="15" xfId="6" applyNumberFormat="1" applyFont="1" applyFill="1" applyBorder="1" applyAlignment="1">
      <alignment vertical="center" wrapText="1"/>
    </xf>
    <xf numFmtId="9" fontId="25" fillId="0" borderId="15" xfId="1" applyFont="1" applyFill="1" applyBorder="1" applyAlignment="1">
      <alignment vertical="center" wrapText="1"/>
    </xf>
    <xf numFmtId="9" fontId="25" fillId="0" borderId="29" xfId="1" applyFont="1" applyFill="1" applyBorder="1" applyAlignment="1">
      <alignment vertical="center" wrapText="1"/>
    </xf>
    <xf numFmtId="9" fontId="25" fillId="0" borderId="15" xfId="6" applyNumberFormat="1" applyFont="1" applyFill="1" applyBorder="1" applyAlignment="1">
      <alignment vertical="center" wrapText="1"/>
    </xf>
    <xf numFmtId="0" fontId="25" fillId="0" borderId="42" xfId="0" applyFont="1" applyBorder="1" applyAlignment="1">
      <alignment vertical="center" wrapText="1"/>
    </xf>
    <xf numFmtId="3" fontId="25" fillId="2" borderId="42" xfId="0" applyNumberFormat="1" applyFont="1" applyFill="1" applyBorder="1" applyAlignment="1">
      <alignment vertical="center" wrapText="1"/>
    </xf>
    <xf numFmtId="9" fontId="25" fillId="2" borderId="43" xfId="1" applyFont="1" applyFill="1" applyBorder="1" applyAlignment="1">
      <alignment vertical="center" wrapText="1"/>
    </xf>
    <xf numFmtId="3" fontId="25" fillId="0" borderId="43" xfId="0" applyNumberFormat="1" applyFont="1" applyBorder="1" applyAlignment="1">
      <alignment vertical="center" wrapText="1"/>
    </xf>
    <xf numFmtId="9" fontId="25" fillId="0" borderId="43" xfId="1" applyFont="1" applyFill="1" applyBorder="1" applyAlignment="1">
      <alignment vertical="center" wrapText="1"/>
    </xf>
    <xf numFmtId="9" fontId="25" fillId="0" borderId="41" xfId="1" applyFont="1" applyFill="1" applyBorder="1" applyAlignment="1">
      <alignment vertical="center" wrapText="1"/>
    </xf>
    <xf numFmtId="9" fontId="25" fillId="0" borderId="43" xfId="1" applyFont="1" applyBorder="1" applyAlignment="1">
      <alignment vertical="center" wrapText="1"/>
    </xf>
    <xf numFmtId="9" fontId="25" fillId="0" borderId="41" xfId="1" applyFont="1" applyBorder="1" applyAlignment="1">
      <alignment vertical="center" wrapText="1"/>
    </xf>
    <xf numFmtId="9" fontId="27" fillId="0" borderId="43" xfId="1" applyFont="1" applyBorder="1" applyAlignment="1">
      <alignment vertical="center" wrapText="1"/>
    </xf>
    <xf numFmtId="0" fontId="58" fillId="9" borderId="18" xfId="0" applyFont="1" applyFill="1" applyBorder="1" applyAlignment="1">
      <alignment vertical="center" wrapText="1"/>
    </xf>
    <xf numFmtId="0" fontId="58" fillId="9" borderId="16" xfId="0" applyFont="1" applyFill="1" applyBorder="1" applyAlignment="1">
      <alignment vertical="center" wrapText="1"/>
    </xf>
    <xf numFmtId="0" fontId="58" fillId="9" borderId="20" xfId="0" applyFont="1" applyFill="1" applyBorder="1" applyAlignment="1">
      <alignment vertical="center" wrapText="1"/>
    </xf>
    <xf numFmtId="0" fontId="26" fillId="6" borderId="18"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6" borderId="20" xfId="0" applyFont="1" applyFill="1" applyBorder="1" applyAlignment="1">
      <alignment horizontal="left" vertical="center" wrapText="1"/>
    </xf>
    <xf numFmtId="0" fontId="26" fillId="5" borderId="18" xfId="0" applyFont="1" applyFill="1" applyBorder="1" applyAlignment="1">
      <alignment vertical="center" wrapText="1"/>
    </xf>
    <xf numFmtId="0" fontId="26" fillId="5" borderId="16" xfId="0" applyFont="1" applyFill="1" applyBorder="1" applyAlignment="1">
      <alignment vertical="center" wrapText="1"/>
    </xf>
    <xf numFmtId="0" fontId="26" fillId="5" borderId="20" xfId="0" applyFont="1" applyFill="1" applyBorder="1" applyAlignment="1">
      <alignment vertical="center" wrapText="1"/>
    </xf>
    <xf numFmtId="0" fontId="58" fillId="9" borderId="18" xfId="0" applyFont="1" applyFill="1" applyBorder="1" applyAlignment="1">
      <alignment horizontal="left" vertical="center"/>
    </xf>
    <xf numFmtId="2" fontId="58" fillId="9" borderId="16" xfId="0" applyNumberFormat="1" applyFont="1" applyFill="1" applyBorder="1" applyAlignment="1">
      <alignment horizontal="right" vertical="center"/>
    </xf>
    <xf numFmtId="2" fontId="58" fillId="9" borderId="20" xfId="0" applyNumberFormat="1" applyFont="1" applyFill="1" applyBorder="1" applyAlignment="1">
      <alignment horizontal="right" vertical="center"/>
    </xf>
    <xf numFmtId="0" fontId="29" fillId="5" borderId="15" xfId="0" quotePrefix="1" applyFont="1" applyFill="1" applyBorder="1" applyAlignment="1">
      <alignment horizontal="left" wrapText="1"/>
    </xf>
    <xf numFmtId="9" fontId="27" fillId="0" borderId="16" xfId="0" applyNumberFormat="1" applyFont="1" applyBorder="1" applyAlignment="1">
      <alignment horizontal="left" vertical="top" wrapText="1"/>
    </xf>
    <xf numFmtId="9" fontId="27" fillId="0" borderId="17" xfId="0" applyNumberFormat="1" applyFont="1" applyBorder="1" applyAlignment="1">
      <alignment horizontal="left" vertical="top" wrapText="1"/>
    </xf>
    <xf numFmtId="43" fontId="25" fillId="4" borderId="16" xfId="7" applyFont="1" applyFill="1" applyBorder="1" applyAlignment="1">
      <alignment horizontal="right" vertical="top" wrapText="1"/>
    </xf>
    <xf numFmtId="43" fontId="27" fillId="0" borderId="16" xfId="7" applyFont="1" applyFill="1" applyBorder="1" applyAlignment="1">
      <alignment horizontal="right" vertical="top" wrapText="1"/>
    </xf>
    <xf numFmtId="43" fontId="25" fillId="4" borderId="17" xfId="7" applyFont="1" applyFill="1" applyBorder="1" applyAlignment="1">
      <alignment horizontal="right" vertical="top" wrapText="1"/>
    </xf>
    <xf numFmtId="43" fontId="27" fillId="0" borderId="17" xfId="7" applyFont="1" applyFill="1" applyBorder="1" applyAlignment="1">
      <alignment horizontal="right" vertical="top" wrapText="1"/>
    </xf>
    <xf numFmtId="0" fontId="65" fillId="0" borderId="16" xfId="4" applyFont="1" applyFill="1" applyBorder="1" applyAlignment="1">
      <alignment vertical="top" wrapText="1"/>
    </xf>
    <xf numFmtId="0" fontId="65" fillId="0" borderId="17" xfId="4" applyFont="1" applyBorder="1" applyAlignment="1">
      <alignment horizontal="left" vertical="top" wrapText="1"/>
    </xf>
    <xf numFmtId="0" fontId="65" fillId="0" borderId="17" xfId="4" applyFont="1" applyFill="1" applyBorder="1" applyAlignment="1">
      <alignment vertical="top" wrapText="1"/>
    </xf>
    <xf numFmtId="0" fontId="27" fillId="0" borderId="17" xfId="0" applyFont="1" applyBorder="1" applyAlignment="1">
      <alignment vertical="top" wrapText="1"/>
    </xf>
    <xf numFmtId="0" fontId="27" fillId="0" borderId="16" xfId="0" quotePrefix="1" applyFont="1" applyBorder="1" applyAlignment="1">
      <alignment horizontal="left" vertical="top" wrapText="1"/>
    </xf>
    <xf numFmtId="0" fontId="65" fillId="0" borderId="16" xfId="4" applyFont="1" applyBorder="1" applyAlignment="1">
      <alignment horizontal="left" vertical="top" wrapText="1"/>
    </xf>
    <xf numFmtId="0" fontId="27" fillId="0" borderId="16" xfId="0" applyFont="1" applyBorder="1" applyAlignment="1">
      <alignment wrapText="1"/>
    </xf>
    <xf numFmtId="0" fontId="27" fillId="0" borderId="0" xfId="0" applyFont="1" applyAlignment="1">
      <alignment horizontal="left" vertical="top"/>
    </xf>
    <xf numFmtId="0" fontId="27" fillId="0" borderId="16" xfId="0" applyFont="1" applyBorder="1" applyAlignment="1">
      <alignment vertical="top"/>
    </xf>
    <xf numFmtId="0" fontId="27" fillId="0" borderId="16" xfId="0" applyFont="1" applyBorder="1" applyAlignment="1">
      <alignment horizontal="right" vertical="top"/>
    </xf>
    <xf numFmtId="0" fontId="27" fillId="0" borderId="17" xfId="0" applyFont="1" applyBorder="1" applyAlignment="1">
      <alignment vertical="top"/>
    </xf>
    <xf numFmtId="0" fontId="27" fillId="0" borderId="0" xfId="0" applyFont="1" applyAlignment="1">
      <alignment vertical="top" wrapText="1"/>
    </xf>
    <xf numFmtId="12" fontId="27" fillId="0" borderId="0" xfId="1" applyNumberFormat="1" applyFont="1" applyFill="1" applyBorder="1" applyAlignment="1">
      <alignment vertical="top"/>
    </xf>
    <xf numFmtId="0" fontId="27" fillId="0" borderId="0" xfId="0" applyFont="1" applyAlignment="1">
      <alignment horizontal="center" vertical="top"/>
    </xf>
    <xf numFmtId="9" fontId="27" fillId="0" borderId="16" xfId="1" applyFont="1" applyFill="1" applyBorder="1" applyAlignment="1">
      <alignment vertical="top"/>
    </xf>
    <xf numFmtId="43" fontId="27" fillId="0" borderId="16" xfId="7" quotePrefix="1" applyFont="1" applyBorder="1" applyAlignment="1">
      <alignment horizontal="left" wrapText="1"/>
    </xf>
    <xf numFmtId="43" fontId="27" fillId="0" borderId="16" xfId="7" applyFont="1" applyBorder="1" applyAlignment="1">
      <alignment horizontal="left" vertical="top" wrapText="1"/>
    </xf>
    <xf numFmtId="43" fontId="25" fillId="4" borderId="16" xfId="7" applyFont="1" applyFill="1" applyBorder="1"/>
    <xf numFmtId="43" fontId="27" fillId="0" borderId="17" xfId="7" quotePrefix="1" applyFont="1" applyBorder="1" applyAlignment="1">
      <alignment horizontal="left" wrapText="1"/>
    </xf>
    <xf numFmtId="43" fontId="27" fillId="0" borderId="17" xfId="7" applyFont="1" applyBorder="1" applyAlignment="1">
      <alignment horizontal="left" vertical="top" wrapText="1"/>
    </xf>
    <xf numFmtId="43" fontId="25" fillId="4" borderId="17" xfId="7" applyFont="1" applyFill="1" applyBorder="1"/>
    <xf numFmtId="0" fontId="27" fillId="3" borderId="0" xfId="0" applyFont="1" applyFill="1" applyAlignment="1">
      <alignment horizontal="left" vertical="center" wrapText="1"/>
    </xf>
    <xf numFmtId="0" fontId="27" fillId="3" borderId="0" xfId="0" applyFont="1" applyFill="1" applyAlignment="1">
      <alignment vertical="center"/>
    </xf>
    <xf numFmtId="0" fontId="27" fillId="0" borderId="16" xfId="0" applyFont="1" applyBorder="1" applyAlignment="1">
      <alignment horizontal="right" vertical="center" wrapText="1"/>
    </xf>
    <xf numFmtId="0" fontId="27" fillId="0" borderId="16" xfId="0" applyFont="1" applyBorder="1" applyAlignment="1">
      <alignment horizontal="left" vertical="center"/>
    </xf>
    <xf numFmtId="0" fontId="27" fillId="0" borderId="16" xfId="0" applyFont="1" applyBorder="1" applyAlignment="1">
      <alignment horizontal="right" vertical="center"/>
    </xf>
    <xf numFmtId="2" fontId="27" fillId="0" borderId="16" xfId="0" applyNumberFormat="1" applyFont="1" applyBorder="1" applyAlignment="1">
      <alignment horizontal="right" vertical="center" wrapText="1"/>
    </xf>
    <xf numFmtId="0" fontId="27" fillId="0" borderId="16" xfId="0" applyFont="1" applyBorder="1" applyAlignment="1">
      <alignment horizontal="left" vertical="center" wrapText="1"/>
    </xf>
    <xf numFmtId="0" fontId="27" fillId="0" borderId="43" xfId="0" applyFont="1" applyBorder="1" applyAlignment="1">
      <alignment horizontal="left" vertical="center"/>
    </xf>
    <xf numFmtId="2" fontId="27" fillId="0" borderId="43" xfId="0" applyNumberFormat="1" applyFont="1" applyBorder="1" applyAlignment="1">
      <alignment horizontal="right" vertical="center"/>
    </xf>
    <xf numFmtId="2" fontId="27" fillId="0" borderId="43" xfId="0" applyNumberFormat="1" applyFont="1" applyBorder="1" applyAlignment="1">
      <alignment horizontal="right" vertical="center" wrapText="1"/>
    </xf>
    <xf numFmtId="0" fontId="27" fillId="0" borderId="43" xfId="0" applyFont="1" applyBorder="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right" vertical="center"/>
    </xf>
    <xf numFmtId="2" fontId="25" fillId="0" borderId="0" xfId="0" applyNumberFormat="1" applyFont="1" applyAlignment="1">
      <alignment horizontal="right" vertical="center" wrapText="1"/>
    </xf>
    <xf numFmtId="0" fontId="27" fillId="5" borderId="15" xfId="0" applyFont="1" applyFill="1" applyBorder="1" applyAlignment="1">
      <alignment horizontal="left" vertical="top" wrapText="1"/>
    </xf>
    <xf numFmtId="0" fontId="27" fillId="5" borderId="15" xfId="0" quotePrefix="1" applyFont="1" applyFill="1" applyBorder="1" applyAlignment="1">
      <alignment horizontal="left" wrapText="1"/>
    </xf>
    <xf numFmtId="0" fontId="27" fillId="5" borderId="15" xfId="0" applyFont="1" applyFill="1" applyBorder="1" applyAlignment="1">
      <alignment horizontal="left" wrapText="1"/>
    </xf>
    <xf numFmtId="0" fontId="27" fillId="5" borderId="15" xfId="0" applyFont="1" applyFill="1" applyBorder="1" applyAlignment="1">
      <alignment wrapText="1"/>
    </xf>
    <xf numFmtId="0" fontId="25" fillId="4" borderId="16" xfId="0" applyFont="1" applyFill="1" applyBorder="1" applyAlignment="1">
      <alignment horizontal="right" vertical="top" wrapText="1"/>
    </xf>
    <xf numFmtId="0" fontId="27" fillId="0" borderId="16" xfId="0" quotePrefix="1" applyFont="1" applyBorder="1" applyAlignment="1">
      <alignment horizontal="right" wrapText="1"/>
    </xf>
    <xf numFmtId="0" fontId="27" fillId="0" borderId="16" xfId="0" applyFont="1" applyBorder="1" applyAlignment="1">
      <alignment horizontal="right" wrapText="1"/>
    </xf>
    <xf numFmtId="0" fontId="25" fillId="4" borderId="17" xfId="0" applyFont="1" applyFill="1" applyBorder="1" applyAlignment="1">
      <alignment horizontal="right" vertical="top" wrapText="1"/>
    </xf>
    <xf numFmtId="0" fontId="27" fillId="0" borderId="17" xfId="0" quotePrefix="1" applyFont="1" applyBorder="1" applyAlignment="1">
      <alignment horizontal="right" wrapText="1"/>
    </xf>
    <xf numFmtId="0" fontId="27" fillId="0" borderId="17" xfId="0" applyFont="1" applyBorder="1" applyAlignment="1">
      <alignment horizontal="right" wrapText="1"/>
    </xf>
    <xf numFmtId="0" fontId="27" fillId="0" borderId="17" xfId="0" applyFont="1" applyBorder="1" applyAlignment="1">
      <alignment wrapText="1"/>
    </xf>
    <xf numFmtId="0" fontId="66" fillId="0" borderId="0" xfId="0" applyFont="1"/>
    <xf numFmtId="2" fontId="27" fillId="0" borderId="16" xfId="0" applyNumberFormat="1" applyFont="1" applyBorder="1" applyAlignment="1">
      <alignment horizontal="right" vertical="center"/>
    </xf>
    <xf numFmtId="2" fontId="27" fillId="0" borderId="20" xfId="0" applyNumberFormat="1" applyFont="1" applyBorder="1" applyAlignment="1">
      <alignment horizontal="right" vertical="center"/>
    </xf>
    <xf numFmtId="0" fontId="27" fillId="0" borderId="18" xfId="0" applyFont="1" applyBorder="1" applyAlignment="1">
      <alignment vertical="center"/>
    </xf>
    <xf numFmtId="1" fontId="27" fillId="0" borderId="16" xfId="0" applyNumberFormat="1" applyFont="1" applyBorder="1" applyAlignment="1">
      <alignment horizontal="right" vertical="center"/>
    </xf>
    <xf numFmtId="1" fontId="27" fillId="0" borderId="20" xfId="0" applyNumberFormat="1" applyFont="1" applyBorder="1" applyAlignment="1">
      <alignment horizontal="right" vertical="center"/>
    </xf>
    <xf numFmtId="0" fontId="27" fillId="0" borderId="20" xfId="0" applyFont="1" applyBorder="1" applyAlignment="1">
      <alignment horizontal="left" vertical="center"/>
    </xf>
    <xf numFmtId="12" fontId="27" fillId="0" borderId="0" xfId="1" quotePrefix="1" applyNumberFormat="1" applyFont="1" applyFill="1" applyBorder="1" applyAlignment="1">
      <alignment horizontal="right"/>
    </xf>
    <xf numFmtId="0" fontId="27" fillId="0" borderId="0" xfId="0" applyFont="1" applyAlignment="1">
      <alignment horizontal="center"/>
    </xf>
    <xf numFmtId="0" fontId="27" fillId="10" borderId="0" xfId="0" applyFont="1" applyFill="1" applyAlignment="1">
      <alignment vertical="center" wrapText="1"/>
    </xf>
    <xf numFmtId="0" fontId="27" fillId="10" borderId="0" xfId="0" applyFont="1" applyFill="1" applyAlignment="1">
      <alignment horizontal="left" vertical="center" wrapText="1"/>
    </xf>
    <xf numFmtId="9" fontId="27" fillId="10" borderId="0" xfId="0" applyNumberFormat="1" applyFont="1" applyFill="1" applyAlignment="1">
      <alignment horizontal="left" vertical="center" wrapText="1"/>
    </xf>
    <xf numFmtId="9" fontId="27" fillId="0" borderId="0" xfId="0" applyNumberFormat="1" applyFont="1" applyAlignment="1">
      <alignment horizontal="left" vertical="center" wrapText="1"/>
    </xf>
    <xf numFmtId="16" fontId="27" fillId="0" borderId="16" xfId="0" quotePrefix="1" applyNumberFormat="1" applyFont="1" applyBorder="1" applyAlignment="1">
      <alignment vertical="top" wrapText="1"/>
    </xf>
    <xf numFmtId="9" fontId="27" fillId="0" borderId="16" xfId="1" applyFont="1" applyFill="1" applyBorder="1" applyAlignment="1">
      <alignment horizontal="right" vertical="top" wrapText="1"/>
    </xf>
    <xf numFmtId="9" fontId="27" fillId="0" borderId="16" xfId="1" applyFont="1" applyFill="1" applyBorder="1" applyAlignment="1">
      <alignment horizontal="left" vertical="top" wrapText="1"/>
    </xf>
    <xf numFmtId="16" fontId="27" fillId="0" borderId="17" xfId="0" applyNumberFormat="1" applyFont="1" applyBorder="1" applyAlignment="1">
      <alignment vertical="top" wrapText="1"/>
    </xf>
    <xf numFmtId="0" fontId="65" fillId="0" borderId="17" xfId="4" applyFont="1" applyBorder="1" applyAlignment="1">
      <alignment vertical="top" wrapText="1"/>
    </xf>
    <xf numFmtId="9" fontId="27" fillId="0" borderId="16" xfId="0" applyNumberFormat="1" applyFont="1" applyBorder="1" applyAlignment="1">
      <alignment horizontal="left" vertical="center" wrapText="1"/>
    </xf>
    <xf numFmtId="0" fontId="27" fillId="0" borderId="16" xfId="0" quotePrefix="1" applyFont="1" applyBorder="1" applyAlignment="1">
      <alignment horizontal="left" vertical="top" wrapText="1" indent="1"/>
    </xf>
    <xf numFmtId="0" fontId="27" fillId="0" borderId="17" xfId="0" applyFont="1" applyBorder="1" applyAlignment="1">
      <alignment horizontal="left" vertical="center" wrapText="1"/>
    </xf>
    <xf numFmtId="9" fontId="27" fillId="0" borderId="17" xfId="0" applyNumberFormat="1" applyFont="1" applyBorder="1" applyAlignment="1">
      <alignment horizontal="left" vertical="center" wrapText="1"/>
    </xf>
    <xf numFmtId="0" fontId="27" fillId="0" borderId="17" xfId="0" quotePrefix="1" applyFont="1" applyBorder="1" applyAlignment="1">
      <alignment horizontal="left" vertical="top" wrapText="1" indent="1"/>
    </xf>
    <xf numFmtId="0" fontId="27" fillId="0" borderId="0" xfId="0" applyFont="1" applyAlignment="1">
      <alignment horizontal="right" vertical="top" wrapText="1"/>
    </xf>
    <xf numFmtId="0" fontId="57" fillId="0" borderId="0" xfId="0" applyFont="1"/>
    <xf numFmtId="0" fontId="57" fillId="0" borderId="0" xfId="0" applyFont="1" applyAlignment="1">
      <alignment vertical="top"/>
    </xf>
    <xf numFmtId="165" fontId="29" fillId="5" borderId="15" xfId="7" applyNumberFormat="1" applyFont="1" applyFill="1" applyBorder="1" applyAlignment="1">
      <alignment horizontal="left" vertical="top" wrapText="1"/>
    </xf>
    <xf numFmtId="0" fontId="63" fillId="11" borderId="16" xfId="0" applyFont="1" applyFill="1" applyBorder="1" applyAlignment="1">
      <alignment horizontal="left" vertical="top"/>
    </xf>
    <xf numFmtId="165" fontId="63" fillId="11" borderId="16" xfId="7" applyNumberFormat="1" applyFont="1" applyFill="1" applyBorder="1" applyAlignment="1">
      <alignment vertical="top"/>
    </xf>
    <xf numFmtId="9" fontId="63" fillId="11" borderId="16" xfId="1" applyFont="1" applyFill="1" applyBorder="1" applyAlignment="1">
      <alignment horizontal="right" vertical="top"/>
    </xf>
    <xf numFmtId="165" fontId="63" fillId="11" borderId="16" xfId="7" applyNumberFormat="1" applyFont="1" applyFill="1" applyBorder="1" applyAlignment="1">
      <alignment horizontal="right" vertical="top" wrapText="1"/>
    </xf>
    <xf numFmtId="9" fontId="63" fillId="11" borderId="16" xfId="1" applyFont="1" applyFill="1" applyBorder="1" applyAlignment="1">
      <alignment horizontal="right" vertical="top" wrapText="1"/>
    </xf>
    <xf numFmtId="0" fontId="57" fillId="0" borderId="0" xfId="0" applyFont="1" applyAlignment="1">
      <alignment horizontal="left" vertical="top" wrapText="1"/>
    </xf>
    <xf numFmtId="165" fontId="63" fillId="11" borderId="16" xfId="7" applyNumberFormat="1" applyFont="1" applyFill="1" applyBorder="1" applyAlignment="1">
      <alignment horizontal="right" vertical="top"/>
    </xf>
    <xf numFmtId="165" fontId="63" fillId="11" borderId="16" xfId="7" applyNumberFormat="1" applyFont="1" applyFill="1" applyBorder="1" applyAlignment="1">
      <alignment horizontal="right"/>
    </xf>
    <xf numFmtId="9" fontId="63" fillId="11" borderId="16" xfId="1" applyFont="1" applyFill="1" applyBorder="1" applyAlignment="1">
      <alignment horizontal="right"/>
    </xf>
    <xf numFmtId="9" fontId="63" fillId="11" borderId="16" xfId="1" applyFont="1" applyFill="1" applyBorder="1" applyAlignment="1">
      <alignment vertical="top"/>
    </xf>
    <xf numFmtId="0" fontId="63" fillId="11" borderId="16" xfId="0" applyFont="1" applyFill="1" applyBorder="1" applyAlignment="1">
      <alignment vertical="top"/>
    </xf>
    <xf numFmtId="9" fontId="63" fillId="9" borderId="16" xfId="1" applyFont="1" applyFill="1" applyBorder="1" applyAlignment="1">
      <alignment horizontal="right" vertical="top"/>
    </xf>
    <xf numFmtId="0" fontId="57" fillId="0" borderId="0" xfId="0" applyFont="1" applyAlignment="1">
      <alignment horizontal="right" vertical="top"/>
    </xf>
    <xf numFmtId="9" fontId="57" fillId="0" borderId="0" xfId="1" applyFont="1" applyFill="1" applyBorder="1" applyAlignment="1">
      <alignment horizontal="right" vertical="top"/>
    </xf>
    <xf numFmtId="0" fontId="67" fillId="0" borderId="0" xfId="0" applyFont="1" applyAlignment="1">
      <alignment vertical="top"/>
    </xf>
    <xf numFmtId="0" fontId="67" fillId="0" borderId="0" xfId="0" applyFont="1"/>
    <xf numFmtId="9" fontId="27" fillId="0" borderId="17" xfId="1" applyFont="1" applyFill="1" applyBorder="1" applyAlignment="1">
      <alignment vertical="top"/>
    </xf>
    <xf numFmtId="9" fontId="27" fillId="0" borderId="17" xfId="1" applyFont="1" applyFill="1" applyBorder="1"/>
    <xf numFmtId="0" fontId="27" fillId="0" borderId="16" xfId="0" applyFont="1" applyBorder="1" applyAlignment="1">
      <alignment horizontal="left" vertical="top"/>
    </xf>
    <xf numFmtId="165" fontId="27" fillId="0" borderId="16" xfId="7" applyNumberFormat="1" applyFont="1" applyFill="1" applyBorder="1" applyAlignment="1">
      <alignment vertical="top"/>
    </xf>
    <xf numFmtId="165" fontId="27" fillId="0" borderId="16" xfId="7" applyNumberFormat="1" applyFont="1" applyFill="1" applyBorder="1" applyAlignment="1">
      <alignment horizontal="right" vertical="top" wrapText="1"/>
    </xf>
    <xf numFmtId="9" fontId="27" fillId="0" borderId="16" xfId="1" applyFont="1" applyFill="1" applyBorder="1" applyAlignment="1">
      <alignment horizontal="right" vertical="top"/>
    </xf>
    <xf numFmtId="165" fontId="27" fillId="0" borderId="16" xfId="7" applyNumberFormat="1" applyFont="1" applyFill="1" applyBorder="1" applyAlignment="1">
      <alignment horizontal="right" vertical="top"/>
    </xf>
    <xf numFmtId="9" fontId="27" fillId="0" borderId="16" xfId="1" applyFont="1" applyFill="1" applyBorder="1" applyAlignment="1">
      <alignment horizontal="right"/>
    </xf>
    <xf numFmtId="0" fontId="27" fillId="0" borderId="17" xfId="0" applyFont="1" applyBorder="1" applyAlignment="1">
      <alignment horizontal="left" vertical="top"/>
    </xf>
    <xf numFmtId="165" fontId="27" fillId="0" borderId="17" xfId="7" applyNumberFormat="1" applyFont="1" applyFill="1" applyBorder="1" applyAlignment="1">
      <alignment horizontal="right" vertical="top" wrapText="1"/>
    </xf>
    <xf numFmtId="9" fontId="27" fillId="0" borderId="17" xfId="1" applyFont="1" applyFill="1" applyBorder="1" applyAlignment="1">
      <alignment horizontal="right" vertical="top"/>
    </xf>
    <xf numFmtId="9" fontId="27" fillId="0" borderId="17" xfId="1" applyFont="1" applyFill="1" applyBorder="1" applyAlignment="1">
      <alignment horizontal="right"/>
    </xf>
    <xf numFmtId="9" fontId="27" fillId="0" borderId="16" xfId="0" applyNumberFormat="1" applyFont="1" applyBorder="1" applyAlignment="1">
      <alignment vertical="top"/>
    </xf>
    <xf numFmtId="9" fontId="27" fillId="4" borderId="16" xfId="1" applyFont="1" applyFill="1" applyBorder="1" applyAlignment="1">
      <alignment horizontal="right" vertical="top"/>
    </xf>
    <xf numFmtId="0" fontId="27" fillId="0" borderId="17" xfId="0" applyFont="1" applyBorder="1" applyAlignment="1">
      <alignment horizontal="right" vertical="top"/>
    </xf>
    <xf numFmtId="165" fontId="27" fillId="0" borderId="16" xfId="7" applyNumberFormat="1" applyFont="1" applyBorder="1" applyAlignment="1">
      <alignment vertical="top"/>
    </xf>
    <xf numFmtId="0" fontId="68" fillId="0" borderId="0" xfId="0" applyFont="1" applyAlignment="1">
      <alignment vertical="top"/>
    </xf>
    <xf numFmtId="0" fontId="68" fillId="0" borderId="0" xfId="0" applyFont="1"/>
    <xf numFmtId="0" fontId="27" fillId="0" borderId="16" xfId="4" applyFont="1" applyFill="1" applyBorder="1" applyAlignment="1">
      <alignment vertical="top"/>
    </xf>
    <xf numFmtId="0" fontId="25" fillId="0" borderId="17" xfId="0" applyFont="1" applyBorder="1" applyAlignment="1">
      <alignment vertical="top"/>
    </xf>
    <xf numFmtId="165" fontId="25" fillId="4" borderId="17" xfId="7" applyNumberFormat="1" applyFont="1" applyFill="1" applyBorder="1" applyAlignment="1">
      <alignment vertical="top"/>
    </xf>
    <xf numFmtId="9" fontId="25" fillId="0" borderId="17" xfId="0" applyNumberFormat="1" applyFont="1" applyBorder="1" applyAlignment="1">
      <alignment vertical="top"/>
    </xf>
    <xf numFmtId="165" fontId="27" fillId="0" borderId="16" xfId="7" applyNumberFormat="1" applyFont="1" applyBorder="1" applyAlignment="1">
      <alignment vertical="center"/>
    </xf>
    <xf numFmtId="165" fontId="27" fillId="0" borderId="16" xfId="7" applyNumberFormat="1" applyFont="1" applyBorder="1" applyAlignment="1">
      <alignment horizontal="right" vertical="center" wrapText="1"/>
    </xf>
    <xf numFmtId="165" fontId="27" fillId="0" borderId="16" xfId="7" applyNumberFormat="1" applyFont="1" applyFill="1" applyBorder="1" applyAlignment="1">
      <alignment horizontal="right" vertical="center" wrapText="1"/>
    </xf>
    <xf numFmtId="43" fontId="27" fillId="0" borderId="16" xfId="7" applyFont="1" applyBorder="1" applyAlignment="1">
      <alignment horizontal="left" vertical="center"/>
    </xf>
    <xf numFmtId="165" fontId="27" fillId="0" borderId="16" xfId="7" applyNumberFormat="1" applyFont="1" applyFill="1" applyBorder="1" applyAlignment="1">
      <alignment vertical="center"/>
    </xf>
    <xf numFmtId="165" fontId="27" fillId="0" borderId="16" xfId="7" applyNumberFormat="1" applyFont="1" applyFill="1" applyBorder="1" applyAlignment="1">
      <alignment vertical="center" wrapText="1"/>
    </xf>
    <xf numFmtId="165" fontId="27" fillId="0" borderId="16" xfId="0" applyNumberFormat="1" applyFont="1" applyBorder="1" applyAlignment="1">
      <alignment vertical="center"/>
    </xf>
    <xf numFmtId="165" fontId="27" fillId="0" borderId="16" xfId="0" applyNumberFormat="1" applyFont="1" applyBorder="1" applyAlignment="1">
      <alignment vertical="center" wrapText="1"/>
    </xf>
    <xf numFmtId="0" fontId="27" fillId="0" borderId="17" xfId="0" applyFont="1" applyBorder="1" applyAlignment="1">
      <alignment horizontal="right" vertical="center" wrapText="1"/>
    </xf>
    <xf numFmtId="165" fontId="25" fillId="10" borderId="16" xfId="7" applyNumberFormat="1" applyFont="1" applyFill="1" applyBorder="1" applyAlignment="1">
      <alignment vertical="top"/>
    </xf>
    <xf numFmtId="9" fontId="25" fillId="10" borderId="16" xfId="1" applyFont="1" applyFill="1" applyBorder="1" applyAlignment="1">
      <alignment vertical="top"/>
    </xf>
    <xf numFmtId="9" fontId="25" fillId="10" borderId="17" xfId="1" applyFont="1" applyFill="1" applyBorder="1" applyAlignment="1">
      <alignment vertical="top"/>
    </xf>
    <xf numFmtId="43" fontId="27" fillId="0" borderId="16" xfId="0" applyNumberFormat="1" applyFont="1" applyBorder="1" applyAlignment="1">
      <alignment horizontal="right" vertical="center"/>
    </xf>
    <xf numFmtId="0" fontId="27" fillId="0" borderId="16" xfId="0" applyFont="1" applyBorder="1" applyAlignment="1">
      <alignment horizontal="right" vertical="top" wrapText="1"/>
    </xf>
    <xf numFmtId="0" fontId="27" fillId="0" borderId="43" xfId="0" applyFont="1" applyBorder="1" applyAlignment="1">
      <alignment vertical="center" wrapText="1"/>
    </xf>
    <xf numFmtId="0" fontId="27" fillId="0" borderId="43" xfId="0" applyFont="1" applyBorder="1" applyAlignment="1">
      <alignment horizontal="right" vertical="center"/>
    </xf>
    <xf numFmtId="43" fontId="27" fillId="0" borderId="43" xfId="0" applyNumberFormat="1" applyFont="1" applyBorder="1" applyAlignment="1">
      <alignment horizontal="right" vertical="center"/>
    </xf>
    <xf numFmtId="0" fontId="27" fillId="0" borderId="43" xfId="0" applyFont="1" applyBorder="1" applyAlignment="1">
      <alignment horizontal="right" vertical="top" wrapText="1"/>
    </xf>
    <xf numFmtId="3" fontId="27" fillId="0" borderId="43" xfId="0" applyNumberFormat="1" applyFont="1" applyBorder="1" applyAlignment="1">
      <alignment horizontal="right" vertical="top" wrapText="1"/>
    </xf>
    <xf numFmtId="2" fontId="25" fillId="0" borderId="0" xfId="0" applyNumberFormat="1" applyFont="1" applyAlignment="1">
      <alignment horizontal="right" vertical="center"/>
    </xf>
    <xf numFmtId="165" fontId="25" fillId="0" borderId="0" xfId="0" applyNumberFormat="1" applyFont="1" applyAlignment="1">
      <alignment horizontal="right" vertical="center"/>
    </xf>
    <xf numFmtId="0" fontId="27" fillId="0" borderId="20" xfId="0" applyFont="1" applyBorder="1" applyAlignment="1">
      <alignment horizontal="right" vertical="center"/>
    </xf>
    <xf numFmtId="0" fontId="27" fillId="0" borderId="42" xfId="0" applyFont="1" applyBorder="1" applyAlignment="1">
      <alignment vertical="center" wrapText="1"/>
    </xf>
    <xf numFmtId="0" fontId="27" fillId="0" borderId="43" xfId="0" applyFont="1" applyBorder="1" applyAlignment="1">
      <alignment horizontal="right" vertical="top"/>
    </xf>
    <xf numFmtId="0" fontId="27" fillId="0" borderId="43" xfId="0" applyFont="1" applyBorder="1" applyAlignment="1">
      <alignment vertical="center"/>
    </xf>
    <xf numFmtId="3" fontId="27" fillId="0" borderId="43" xfId="0" applyNumberFormat="1" applyFont="1" applyBorder="1" applyAlignment="1">
      <alignment horizontal="right" vertical="center"/>
    </xf>
    <xf numFmtId="3" fontId="27" fillId="0" borderId="41" xfId="0" applyNumberFormat="1" applyFont="1" applyBorder="1" applyAlignment="1">
      <alignment horizontal="right" vertical="center"/>
    </xf>
    <xf numFmtId="0" fontId="25" fillId="0" borderId="28" xfId="0" applyFont="1" applyBorder="1" applyAlignment="1">
      <alignment vertical="center" wrapText="1"/>
    </xf>
    <xf numFmtId="0" fontId="25" fillId="0" borderId="15" xfId="0" applyFont="1" applyBorder="1" applyAlignment="1">
      <alignment horizontal="right" vertical="center"/>
    </xf>
    <xf numFmtId="0" fontId="25" fillId="0" borderId="15" xfId="0" applyFont="1" applyBorder="1" applyAlignment="1">
      <alignment vertical="center"/>
    </xf>
    <xf numFmtId="3" fontId="25" fillId="0" borderId="15" xfId="0" applyNumberFormat="1" applyFont="1" applyBorder="1" applyAlignment="1">
      <alignment horizontal="right" vertical="center"/>
    </xf>
    <xf numFmtId="3" fontId="25" fillId="0" borderId="29" xfId="0" applyNumberFormat="1" applyFont="1" applyBorder="1" applyAlignment="1">
      <alignment horizontal="right" vertical="center"/>
    </xf>
    <xf numFmtId="0" fontId="27" fillId="0" borderId="18" xfId="0" applyFont="1" applyBorder="1" applyAlignment="1">
      <alignment vertical="top" wrapText="1"/>
    </xf>
    <xf numFmtId="0" fontId="27" fillId="0" borderId="0" xfId="0" quotePrefix="1" applyFont="1" applyAlignment="1">
      <alignment horizontal="left" wrapText="1"/>
    </xf>
    <xf numFmtId="0" fontId="69" fillId="0" borderId="0" xfId="0" applyFont="1"/>
    <xf numFmtId="0" fontId="27" fillId="0" borderId="16" xfId="0" applyFont="1" applyBorder="1" applyAlignment="1">
      <alignment horizontal="center" vertical="center"/>
    </xf>
    <xf numFmtId="3" fontId="27" fillId="0" borderId="16" xfId="0" quotePrefix="1" applyNumberFormat="1" applyFont="1" applyBorder="1" applyAlignment="1">
      <alignment horizontal="right" wrapText="1"/>
    </xf>
    <xf numFmtId="3" fontId="27" fillId="0" borderId="16" xfId="0" applyNumberFormat="1" applyFont="1" applyBorder="1" applyAlignment="1">
      <alignment horizontal="right" vertical="top" wrapText="1"/>
    </xf>
    <xf numFmtId="0" fontId="27" fillId="0" borderId="17" xfId="0" applyFont="1" applyBorder="1" applyAlignment="1">
      <alignment horizontal="right" vertical="top" wrapText="1"/>
    </xf>
    <xf numFmtId="0" fontId="25" fillId="0" borderId="6" xfId="0" applyFont="1" applyBorder="1" applyAlignment="1">
      <alignment horizontal="left" vertical="top" wrapText="1"/>
    </xf>
    <xf numFmtId="0" fontId="25" fillId="0" borderId="0" xfId="0" applyFont="1" applyAlignment="1">
      <alignment horizontal="left" vertical="top" wrapText="1"/>
    </xf>
    <xf numFmtId="0" fontId="25" fillId="0" borderId="18" xfId="0" applyFont="1" applyBorder="1" applyAlignment="1">
      <alignment vertical="center"/>
    </xf>
    <xf numFmtId="0" fontId="25" fillId="0" borderId="16" xfId="0" applyFont="1" applyBorder="1" applyAlignment="1">
      <alignment vertical="center"/>
    </xf>
    <xf numFmtId="0" fontId="25" fillId="0" borderId="20" xfId="0" applyFont="1" applyBorder="1" applyAlignment="1">
      <alignment vertical="center"/>
    </xf>
    <xf numFmtId="9" fontId="27" fillId="0" borderId="0" xfId="1" applyFont="1" applyAlignment="1">
      <alignment horizontal="left"/>
    </xf>
    <xf numFmtId="0" fontId="27" fillId="0" borderId="18" xfId="0" applyFont="1" applyBorder="1" applyAlignment="1">
      <alignment horizontal="right" vertical="center"/>
    </xf>
    <xf numFmtId="0" fontId="25" fillId="0" borderId="20" xfId="0" applyFont="1" applyBorder="1" applyAlignment="1">
      <alignment horizontal="right" vertical="center"/>
    </xf>
    <xf numFmtId="0" fontId="25" fillId="0" borderId="11" xfId="0" applyFont="1" applyBorder="1" applyAlignment="1">
      <alignment vertical="center"/>
    </xf>
    <xf numFmtId="0" fontId="25" fillId="0" borderId="9" xfId="0" applyFont="1" applyBorder="1" applyAlignment="1">
      <alignment vertical="center"/>
    </xf>
    <xf numFmtId="0" fontId="25" fillId="0" borderId="12" xfId="0" applyFont="1" applyBorder="1" applyAlignment="1">
      <alignment vertical="center"/>
    </xf>
    <xf numFmtId="0" fontId="25" fillId="0" borderId="55" xfId="0" applyFont="1" applyBorder="1" applyAlignment="1">
      <alignment vertical="center"/>
    </xf>
    <xf numFmtId="0" fontId="25" fillId="0" borderId="56" xfId="0" applyFont="1" applyBorder="1" applyAlignment="1">
      <alignment vertical="center"/>
    </xf>
    <xf numFmtId="0" fontId="25" fillId="0" borderId="57" xfId="0" applyFont="1" applyBorder="1" applyAlignment="1">
      <alignment vertical="center"/>
    </xf>
    <xf numFmtId="0" fontId="27" fillId="0" borderId="11" xfId="0" applyFont="1" applyBorder="1" applyAlignment="1">
      <alignment horizontal="right" vertical="center"/>
    </xf>
    <xf numFmtId="0" fontId="27" fillId="0" borderId="13" xfId="0" applyFont="1" applyBorder="1" applyAlignment="1">
      <alignment horizontal="right" vertical="center"/>
    </xf>
    <xf numFmtId="0" fontId="25" fillId="0" borderId="12" xfId="0" applyFont="1" applyBorder="1" applyAlignment="1">
      <alignment horizontal="right" vertical="center"/>
    </xf>
    <xf numFmtId="0" fontId="27" fillId="0" borderId="55" xfId="0" applyFont="1" applyBorder="1" applyAlignment="1">
      <alignment horizontal="right" vertical="center"/>
    </xf>
    <xf numFmtId="0" fontId="27" fillId="0" borderId="56" xfId="0" applyFont="1" applyBorder="1" applyAlignment="1">
      <alignment horizontal="right" vertical="center"/>
    </xf>
    <xf numFmtId="0" fontId="25" fillId="0" borderId="57" xfId="0" applyFont="1" applyBorder="1" applyAlignment="1">
      <alignment horizontal="right" vertical="center"/>
    </xf>
    <xf numFmtId="0" fontId="25" fillId="0" borderId="0" xfId="0" applyFont="1" applyAlignment="1">
      <alignment vertical="center"/>
    </xf>
    <xf numFmtId="0" fontId="25" fillId="0" borderId="9" xfId="0" applyFont="1" applyBorder="1" applyAlignment="1">
      <alignment horizontal="left" vertical="top" wrapText="1"/>
    </xf>
    <xf numFmtId="0" fontId="25" fillId="0" borderId="9" xfId="0" applyFont="1" applyBorder="1" applyAlignment="1">
      <alignment horizontal="right" vertical="top" wrapText="1"/>
    </xf>
    <xf numFmtId="0" fontId="27" fillId="10" borderId="9" xfId="0" applyFont="1" applyFill="1" applyBorder="1" applyAlignment="1">
      <alignment horizontal="right" vertical="top" wrapText="1"/>
    </xf>
    <xf numFmtId="0" fontId="25" fillId="0" borderId="0" xfId="0" applyFont="1" applyAlignment="1">
      <alignment wrapText="1"/>
    </xf>
    <xf numFmtId="0" fontId="25" fillId="10" borderId="9" xfId="0" applyFont="1" applyFill="1" applyBorder="1" applyAlignment="1">
      <alignment horizontal="right" vertical="top" wrapText="1"/>
    </xf>
    <xf numFmtId="0" fontId="27" fillId="0" borderId="9" xfId="0" applyFont="1" applyBorder="1" applyAlignment="1">
      <alignment horizontal="left" vertical="top" wrapText="1"/>
    </xf>
    <xf numFmtId="0" fontId="27" fillId="0" borderId="9" xfId="0" applyFont="1" applyBorder="1" applyAlignment="1">
      <alignment horizontal="right" vertical="top" wrapText="1"/>
    </xf>
    <xf numFmtId="0" fontId="27" fillId="0" borderId="10" xfId="0" applyFont="1" applyBorder="1" applyAlignment="1">
      <alignment horizontal="left" vertical="top" wrapText="1"/>
    </xf>
    <xf numFmtId="0" fontId="27" fillId="0" borderId="10" xfId="0" applyFont="1" applyBorder="1" applyAlignment="1">
      <alignment horizontal="right" vertical="top" wrapText="1"/>
    </xf>
    <xf numFmtId="0" fontId="27" fillId="10" borderId="10" xfId="0" applyFont="1" applyFill="1" applyBorder="1" applyAlignment="1">
      <alignment horizontal="right" vertical="top" wrapText="1"/>
    </xf>
    <xf numFmtId="0" fontId="27" fillId="0" borderId="9" xfId="0" applyFont="1" applyBorder="1" applyAlignment="1">
      <alignment horizontal="left" vertical="top" wrapText="1" indent="1"/>
    </xf>
    <xf numFmtId="0" fontId="27" fillId="0" borderId="9" xfId="0" quotePrefix="1" applyFont="1" applyBorder="1" applyAlignment="1">
      <alignment horizontal="right" wrapText="1"/>
    </xf>
    <xf numFmtId="0" fontId="27" fillId="9" borderId="9" xfId="0" applyFont="1" applyFill="1" applyBorder="1" applyAlignment="1">
      <alignment horizontal="left" vertical="top" wrapText="1"/>
    </xf>
    <xf numFmtId="0" fontId="27" fillId="9" borderId="9" xfId="0" applyFont="1" applyFill="1" applyBorder="1" applyAlignment="1">
      <alignment horizontal="right" vertical="top" wrapText="1"/>
    </xf>
    <xf numFmtId="0" fontId="27" fillId="9" borderId="9" xfId="0" quotePrefix="1" applyFont="1" applyFill="1" applyBorder="1" applyAlignment="1">
      <alignment horizontal="right" wrapText="1"/>
    </xf>
    <xf numFmtId="0" fontId="25" fillId="9" borderId="9" xfId="0" quotePrefix="1" applyFont="1" applyFill="1" applyBorder="1" applyAlignment="1">
      <alignment horizontal="right" wrapText="1"/>
    </xf>
    <xf numFmtId="0" fontId="27" fillId="0" borderId="9" xfId="0" applyFont="1" applyBorder="1" applyAlignment="1">
      <alignment horizontal="right" wrapText="1"/>
    </xf>
    <xf numFmtId="0" fontId="27" fillId="0" borderId="10" xfId="0" applyFont="1" applyBorder="1" applyAlignment="1">
      <alignment horizontal="left" vertical="top" wrapText="1" indent="1"/>
    </xf>
    <xf numFmtId="0" fontId="27" fillId="3" borderId="10" xfId="0" quotePrefix="1" applyFont="1" applyFill="1" applyBorder="1" applyAlignment="1">
      <alignment horizontal="right" wrapText="1"/>
    </xf>
    <xf numFmtId="0" fontId="27" fillId="0" borderId="10" xfId="0" applyFont="1" applyBorder="1" applyAlignment="1">
      <alignment horizontal="right" wrapText="1"/>
    </xf>
    <xf numFmtId="0" fontId="27" fillId="0" borderId="10" xfId="0" quotePrefix="1" applyFont="1" applyBorder="1" applyAlignment="1">
      <alignment horizontal="right" wrapText="1"/>
    </xf>
    <xf numFmtId="0" fontId="49" fillId="0" borderId="16" xfId="0" applyFont="1" applyBorder="1" applyAlignment="1">
      <alignment horizontal="right" vertical="top" wrapText="1"/>
    </xf>
    <xf numFmtId="0" fontId="48" fillId="0" borderId="16" xfId="0" quotePrefix="1" applyFont="1" applyBorder="1" applyAlignment="1">
      <alignment horizontal="right" wrapText="1"/>
    </xf>
    <xf numFmtId="9" fontId="49" fillId="0" borderId="16" xfId="1" applyFont="1" applyBorder="1" applyAlignment="1">
      <alignment horizontal="right" vertical="top" wrapText="1"/>
    </xf>
    <xf numFmtId="9" fontId="48" fillId="0" borderId="16" xfId="1" quotePrefix="1" applyFont="1" applyBorder="1" applyAlignment="1">
      <alignment horizontal="right" wrapText="1"/>
    </xf>
    <xf numFmtId="166" fontId="49" fillId="0" borderId="16" xfId="1" applyNumberFormat="1" applyFont="1" applyBorder="1" applyAlignment="1">
      <alignment horizontal="right" vertical="top" wrapText="1"/>
    </xf>
    <xf numFmtId="166" fontId="48" fillId="0" borderId="16" xfId="1" quotePrefix="1" applyNumberFormat="1" applyFont="1" applyFill="1" applyBorder="1" applyAlignment="1">
      <alignment horizontal="right" wrapText="1"/>
    </xf>
    <xf numFmtId="166" fontId="48" fillId="0" borderId="16" xfId="1" quotePrefix="1" applyNumberFormat="1" applyFont="1" applyBorder="1" applyAlignment="1">
      <alignment horizontal="right" wrapText="1"/>
    </xf>
    <xf numFmtId="9" fontId="48" fillId="0" borderId="16" xfId="1" quotePrefix="1" applyFont="1" applyFill="1" applyBorder="1" applyAlignment="1">
      <alignment horizontal="right" wrapText="1"/>
    </xf>
    <xf numFmtId="9" fontId="49" fillId="0" borderId="17" xfId="1" applyFont="1" applyBorder="1" applyAlignment="1">
      <alignment horizontal="right" vertical="top" wrapText="1"/>
    </xf>
    <xf numFmtId="166" fontId="48" fillId="0" borderId="17" xfId="1" quotePrefix="1" applyNumberFormat="1" applyFont="1" applyBorder="1" applyAlignment="1">
      <alignment horizontal="right" wrapText="1"/>
    </xf>
    <xf numFmtId="9" fontId="48" fillId="0" borderId="17" xfId="1" quotePrefix="1" applyFont="1" applyBorder="1" applyAlignment="1">
      <alignment horizontal="right" wrapText="1"/>
    </xf>
    <xf numFmtId="0" fontId="25" fillId="0" borderId="18" xfId="0" applyFont="1" applyBorder="1" applyAlignment="1">
      <alignment horizontal="left" vertical="center" wrapText="1" indent="1"/>
    </xf>
    <xf numFmtId="0" fontId="25" fillId="0" borderId="16" xfId="0" applyFont="1" applyBorder="1" applyAlignment="1">
      <alignment vertical="center" wrapText="1"/>
    </xf>
    <xf numFmtId="10" fontId="25" fillId="0" borderId="16" xfId="1" applyNumberFormat="1" applyFont="1" applyFill="1" applyBorder="1" applyAlignment="1">
      <alignment vertical="center" wrapText="1"/>
    </xf>
    <xf numFmtId="10" fontId="25" fillId="0" borderId="20" xfId="1" applyNumberFormat="1" applyFont="1" applyFill="1" applyBorder="1" applyAlignment="1">
      <alignment vertical="center" wrapText="1"/>
    </xf>
    <xf numFmtId="9" fontId="27" fillId="0" borderId="16" xfId="1" applyFont="1" applyFill="1" applyBorder="1" applyAlignment="1">
      <alignment horizontal="right" vertical="center" wrapText="1"/>
    </xf>
    <xf numFmtId="10" fontId="27" fillId="0" borderId="16" xfId="0" applyNumberFormat="1" applyFont="1" applyBorder="1" applyAlignment="1">
      <alignment horizontal="right" vertical="center" wrapText="1"/>
    </xf>
    <xf numFmtId="10" fontId="27" fillId="0" borderId="20" xfId="0" applyNumberFormat="1" applyFont="1" applyBorder="1" applyAlignment="1">
      <alignment horizontal="right" vertical="center" wrapText="1"/>
    </xf>
    <xf numFmtId="0" fontId="27" fillId="0" borderId="16" xfId="1" applyNumberFormat="1" applyFont="1" applyFill="1" applyBorder="1" applyAlignment="1">
      <alignment horizontal="right" vertical="center" wrapText="1"/>
    </xf>
    <xf numFmtId="0" fontId="27" fillId="0" borderId="20" xfId="0" applyFont="1" applyBorder="1" applyAlignment="1">
      <alignment horizontal="right" vertical="center" wrapText="1"/>
    </xf>
    <xf numFmtId="9" fontId="27" fillId="0" borderId="16" xfId="1" applyFont="1" applyBorder="1" applyAlignment="1">
      <alignment horizontal="right" vertical="center" wrapText="1"/>
    </xf>
    <xf numFmtId="9" fontId="27" fillId="0" borderId="20" xfId="0" applyNumberFormat="1" applyFont="1" applyBorder="1" applyAlignment="1">
      <alignment horizontal="right" vertical="center" wrapText="1"/>
    </xf>
    <xf numFmtId="3" fontId="27" fillId="0" borderId="16" xfId="0" applyNumberFormat="1" applyFont="1" applyBorder="1" applyAlignment="1">
      <alignment horizontal="right" vertical="center" wrapText="1"/>
    </xf>
    <xf numFmtId="1" fontId="27" fillId="0" borderId="16" xfId="1" applyNumberFormat="1" applyFont="1" applyFill="1" applyBorder="1" applyAlignment="1">
      <alignment horizontal="right" vertical="center" wrapText="1"/>
    </xf>
    <xf numFmtId="10" fontId="27" fillId="0" borderId="16" xfId="1" applyNumberFormat="1" applyFont="1" applyFill="1" applyBorder="1" applyAlignment="1">
      <alignment horizontal="right" vertical="center" wrapText="1"/>
    </xf>
    <xf numFmtId="0" fontId="25" fillId="0" borderId="24" xfId="0" applyFont="1" applyBorder="1" applyAlignment="1">
      <alignment horizontal="left" vertical="top" wrapText="1"/>
    </xf>
    <xf numFmtId="0" fontId="25" fillId="0" borderId="17" xfId="0" applyFont="1" applyBorder="1" applyAlignment="1">
      <alignment horizontal="left" vertical="top" wrapText="1"/>
    </xf>
    <xf numFmtId="0" fontId="25" fillId="0" borderId="25" xfId="0" applyFont="1" applyBorder="1" applyAlignment="1">
      <alignment horizontal="left" vertical="top" wrapText="1"/>
    </xf>
    <xf numFmtId="165" fontId="27" fillId="0" borderId="18" xfId="7" applyNumberFormat="1" applyFont="1" applyBorder="1" applyAlignment="1">
      <alignment vertical="top" wrapText="1"/>
    </xf>
    <xf numFmtId="165" fontId="27" fillId="0" borderId="16" xfId="7" applyNumberFormat="1" applyFont="1" applyBorder="1" applyAlignment="1">
      <alignment vertical="top" wrapText="1"/>
    </xf>
    <xf numFmtId="165" fontId="27" fillId="0" borderId="20" xfId="7" applyNumberFormat="1" applyFont="1" applyBorder="1" applyAlignment="1">
      <alignment vertical="top" wrapText="1"/>
    </xf>
    <xf numFmtId="165" fontId="27" fillId="0" borderId="18" xfId="7" quotePrefix="1" applyNumberFormat="1" applyFont="1" applyBorder="1" applyAlignment="1">
      <alignment wrapText="1"/>
    </xf>
    <xf numFmtId="165" fontId="27" fillId="0" borderId="16" xfId="7" quotePrefix="1" applyNumberFormat="1" applyFont="1" applyBorder="1" applyAlignment="1">
      <alignment wrapText="1"/>
    </xf>
    <xf numFmtId="165" fontId="27" fillId="0" borderId="20" xfId="7" quotePrefix="1" applyNumberFormat="1" applyFont="1" applyFill="1" applyBorder="1" applyAlignment="1">
      <alignment wrapText="1"/>
    </xf>
    <xf numFmtId="165" fontId="27" fillId="0" borderId="20" xfId="7" quotePrefix="1" applyNumberFormat="1" applyFont="1" applyBorder="1" applyAlignment="1">
      <alignment wrapText="1"/>
    </xf>
    <xf numFmtId="1" fontId="27" fillId="0" borderId="17" xfId="0" quotePrefix="1" applyNumberFormat="1" applyFont="1" applyBorder="1" applyAlignment="1">
      <alignment horizontal="right" wrapText="1"/>
    </xf>
    <xf numFmtId="0" fontId="25" fillId="0" borderId="16" xfId="0" applyFont="1" applyBorder="1" applyAlignment="1">
      <alignment horizontal="right" vertical="center" wrapText="1"/>
    </xf>
    <xf numFmtId="9" fontId="25" fillId="0" borderId="20" xfId="1" applyFont="1" applyBorder="1" applyAlignment="1">
      <alignment horizontal="right" vertical="center" wrapText="1"/>
    </xf>
    <xf numFmtId="9" fontId="25" fillId="0" borderId="0" xfId="1" applyFont="1" applyFill="1" applyBorder="1" applyAlignment="1">
      <alignment horizontal="center" vertical="center" wrapText="1"/>
    </xf>
    <xf numFmtId="9" fontId="27" fillId="0" borderId="18" xfId="0" applyNumberFormat="1" applyFont="1" applyBorder="1" applyAlignment="1">
      <alignment horizontal="right" vertical="center" wrapText="1"/>
    </xf>
    <xf numFmtId="9" fontId="27" fillId="0" borderId="18" xfId="1" applyFont="1" applyBorder="1" applyAlignment="1">
      <alignment horizontal="right" vertical="center" wrapText="1"/>
    </xf>
    <xf numFmtId="9" fontId="27" fillId="0" borderId="16" xfId="0" applyNumberFormat="1" applyFont="1" applyBorder="1" applyAlignment="1">
      <alignment horizontal="right" vertical="center" wrapText="1"/>
    </xf>
    <xf numFmtId="9" fontId="27" fillId="0" borderId="20" xfId="1" applyFont="1" applyBorder="1" applyAlignment="1">
      <alignment horizontal="right" vertical="center" wrapText="1"/>
    </xf>
    <xf numFmtId="9" fontId="27" fillId="0" borderId="18" xfId="1" applyFont="1" applyFill="1" applyBorder="1" applyAlignment="1">
      <alignment horizontal="right" vertical="center" wrapText="1"/>
    </xf>
    <xf numFmtId="9" fontId="27" fillId="0" borderId="20" xfId="1" applyFont="1" applyFill="1" applyBorder="1" applyAlignment="1">
      <alignment horizontal="right" vertical="center" wrapText="1"/>
    </xf>
    <xf numFmtId="0" fontId="27" fillId="0" borderId="18" xfId="0" applyFont="1" applyBorder="1" applyAlignment="1">
      <alignment horizontal="right" vertical="center" wrapText="1"/>
    </xf>
    <xf numFmtId="0" fontId="25" fillId="0" borderId="17" xfId="0" applyFont="1" applyBorder="1" applyAlignment="1">
      <alignment horizontal="right" vertical="center" wrapText="1"/>
    </xf>
    <xf numFmtId="9" fontId="27" fillId="0" borderId="16" xfId="1" applyFont="1" applyBorder="1" applyAlignment="1">
      <alignment vertical="top"/>
    </xf>
    <xf numFmtId="165" fontId="27" fillId="0" borderId="16" xfId="7" applyNumberFormat="1" applyFont="1" applyBorder="1" applyAlignment="1">
      <alignment horizontal="right" vertical="top"/>
    </xf>
    <xf numFmtId="165" fontId="27" fillId="0" borderId="16" xfId="7" quotePrefix="1" applyNumberFormat="1" applyFont="1" applyBorder="1" applyAlignment="1">
      <alignment vertical="top"/>
    </xf>
    <xf numFmtId="0" fontId="27" fillId="0" borderId="43" xfId="0" applyFont="1" applyBorder="1" applyAlignment="1">
      <alignment vertical="top"/>
    </xf>
    <xf numFmtId="165" fontId="27" fillId="0" borderId="43" xfId="7" applyNumberFormat="1" applyFont="1" applyBorder="1" applyAlignment="1">
      <alignment horizontal="right" vertical="top"/>
    </xf>
    <xf numFmtId="165" fontId="27" fillId="0" borderId="43" xfId="7" quotePrefix="1" applyNumberFormat="1" applyFont="1" applyBorder="1" applyAlignment="1">
      <alignment vertical="top"/>
    </xf>
    <xf numFmtId="9" fontId="27" fillId="0" borderId="43" xfId="1" applyFont="1" applyFill="1" applyBorder="1" applyAlignment="1">
      <alignment vertical="top"/>
    </xf>
    <xf numFmtId="165" fontId="27" fillId="0" borderId="0" xfId="7" applyNumberFormat="1" applyFont="1" applyBorder="1" applyAlignment="1">
      <alignment vertical="top"/>
    </xf>
    <xf numFmtId="9" fontId="27" fillId="0" borderId="0" xfId="0" applyNumberFormat="1" applyFont="1" applyAlignment="1">
      <alignment vertical="top"/>
    </xf>
    <xf numFmtId="0" fontId="25" fillId="0" borderId="24" xfId="0" applyFont="1" applyBorder="1" applyAlignment="1">
      <alignment vertical="center" wrapText="1"/>
    </xf>
    <xf numFmtId="0" fontId="25" fillId="10" borderId="26" xfId="0" applyFont="1" applyFill="1" applyBorder="1" applyAlignment="1">
      <alignment vertical="center" wrapText="1"/>
    </xf>
    <xf numFmtId="0" fontId="25" fillId="0" borderId="26" xfId="0" applyFont="1" applyBorder="1" applyAlignment="1">
      <alignment vertical="center" wrapText="1"/>
    </xf>
    <xf numFmtId="0" fontId="27" fillId="0" borderId="0" xfId="0" applyFont="1" applyAlignment="1">
      <alignment horizontal="right" vertical="center" wrapText="1"/>
    </xf>
    <xf numFmtId="0" fontId="27" fillId="10" borderId="0" xfId="0" applyFont="1" applyFill="1" applyAlignment="1">
      <alignment horizontal="right" vertical="center" wrapText="1"/>
    </xf>
    <xf numFmtId="0" fontId="25" fillId="0" borderId="26" xfId="0" applyFont="1" applyBorder="1" applyAlignment="1">
      <alignment vertical="top" wrapText="1"/>
    </xf>
    <xf numFmtId="0" fontId="23" fillId="0" borderId="0" xfId="0" applyFont="1" applyAlignment="1">
      <alignment vertical="top" wrapText="1"/>
    </xf>
    <xf numFmtId="9" fontId="27" fillId="0" borderId="9" xfId="1" applyFont="1" applyBorder="1" applyAlignment="1">
      <alignment horizontal="right" wrapText="1"/>
    </xf>
    <xf numFmtId="0" fontId="27" fillId="0" borderId="52" xfId="0" applyFont="1" applyBorder="1" applyAlignment="1">
      <alignment horizontal="left" vertical="top" wrapText="1"/>
    </xf>
    <xf numFmtId="0" fontId="27" fillId="0" borderId="52" xfId="0" applyFont="1" applyBorder="1" applyAlignment="1">
      <alignment horizontal="right" vertical="top" wrapText="1"/>
    </xf>
    <xf numFmtId="9" fontId="27" fillId="0" borderId="52" xfId="1" applyFont="1" applyBorder="1" applyAlignment="1">
      <alignment horizontal="right" wrapText="1"/>
    </xf>
    <xf numFmtId="9" fontId="27" fillId="0" borderId="0" xfId="0" applyNumberFormat="1" applyFont="1" applyAlignment="1">
      <alignment horizontal="right" wrapText="1"/>
    </xf>
    <xf numFmtId="0" fontId="27" fillId="0" borderId="20" xfId="0" applyFont="1" applyBorder="1" applyAlignment="1">
      <alignment horizontal="right" wrapText="1"/>
    </xf>
    <xf numFmtId="9" fontId="27" fillId="0" borderId="20" xfId="0" applyNumberFormat="1" applyFont="1" applyBorder="1" applyAlignment="1">
      <alignment horizontal="right" wrapText="1"/>
    </xf>
    <xf numFmtId="9" fontId="27" fillId="0" borderId="16" xfId="1" applyFont="1" applyBorder="1" applyAlignment="1">
      <alignment horizontal="right" wrapText="1"/>
    </xf>
    <xf numFmtId="9" fontId="27" fillId="0" borderId="16" xfId="1" applyFont="1" applyFill="1" applyBorder="1" applyAlignment="1">
      <alignment horizontal="right" wrapText="1"/>
    </xf>
    <xf numFmtId="9" fontId="27" fillId="0" borderId="43" xfId="1" applyFont="1" applyFill="1" applyBorder="1" applyAlignment="1">
      <alignment horizontal="right" wrapText="1"/>
    </xf>
    <xf numFmtId="164" fontId="27" fillId="0" borderId="16" xfId="0" applyNumberFormat="1" applyFont="1" applyBorder="1" applyAlignment="1">
      <alignment horizontal="right" vertical="top"/>
    </xf>
    <xf numFmtId="165" fontId="27" fillId="0" borderId="17" xfId="0" applyNumberFormat="1" applyFont="1" applyBorder="1" applyAlignment="1">
      <alignment vertical="top"/>
    </xf>
    <xf numFmtId="164" fontId="27" fillId="0" borderId="17" xfId="0" applyNumberFormat="1" applyFont="1" applyBorder="1" applyAlignment="1">
      <alignment horizontal="right" vertical="top"/>
    </xf>
    <xf numFmtId="0" fontId="71" fillId="0" borderId="0" xfId="0" applyFont="1"/>
    <xf numFmtId="9" fontId="27" fillId="0" borderId="16" xfId="1" applyFont="1" applyBorder="1" applyAlignment="1">
      <alignment horizontal="right"/>
    </xf>
    <xf numFmtId="9" fontId="27" fillId="0" borderId="43" xfId="1" applyFont="1" applyBorder="1" applyAlignment="1">
      <alignment horizontal="right"/>
    </xf>
    <xf numFmtId="0" fontId="27" fillId="0" borderId="43" xfId="0" applyFont="1" applyBorder="1" applyAlignment="1">
      <alignment horizontal="right" wrapText="1"/>
    </xf>
    <xf numFmtId="0" fontId="27" fillId="4" borderId="0" xfId="0" applyFont="1" applyFill="1" applyAlignment="1">
      <alignment vertical="top"/>
    </xf>
    <xf numFmtId="0" fontId="27" fillId="4" borderId="0" xfId="0" applyFont="1" applyFill="1" applyAlignment="1">
      <alignment horizontal="right"/>
    </xf>
    <xf numFmtId="9" fontId="27" fillId="4" borderId="0" xfId="0" applyNumberFormat="1" applyFont="1" applyFill="1" applyAlignment="1">
      <alignment horizontal="right"/>
    </xf>
    <xf numFmtId="0" fontId="27" fillId="4" borderId="0" xfId="0" applyFont="1" applyFill="1"/>
    <xf numFmtId="2" fontId="63" fillId="9" borderId="16" xfId="0" quotePrefix="1" applyNumberFormat="1" applyFont="1" applyFill="1" applyBorder="1" applyAlignment="1">
      <alignment horizontal="right" wrapText="1"/>
    </xf>
    <xf numFmtId="2" fontId="63" fillId="9" borderId="16" xfId="0" applyNumberFormat="1" applyFont="1" applyFill="1" applyBorder="1" applyAlignment="1">
      <alignment horizontal="right" vertical="top" wrapText="1"/>
    </xf>
    <xf numFmtId="0" fontId="41" fillId="5" borderId="15" xfId="0" applyFont="1" applyFill="1" applyBorder="1" applyAlignment="1">
      <alignment vertical="top" wrapText="1"/>
    </xf>
    <xf numFmtId="0" fontId="58" fillId="9" borderId="16" xfId="0" quotePrefix="1" applyFont="1" applyFill="1" applyBorder="1" applyAlignment="1">
      <alignment horizontal="left" wrapText="1"/>
    </xf>
    <xf numFmtId="0" fontId="58" fillId="9" borderId="16" xfId="0" applyFont="1" applyFill="1" applyBorder="1" applyAlignment="1">
      <alignment wrapText="1"/>
    </xf>
    <xf numFmtId="0" fontId="58" fillId="9" borderId="16" xfId="0" applyFont="1" applyFill="1" applyBorder="1"/>
    <xf numFmtId="0" fontId="26" fillId="6" borderId="18" xfId="0" applyFont="1" applyFill="1" applyBorder="1" applyAlignment="1">
      <alignment vertical="top" wrapText="1"/>
    </xf>
    <xf numFmtId="0" fontId="26" fillId="6" borderId="16" xfId="0" applyFont="1" applyFill="1" applyBorder="1" applyAlignment="1">
      <alignment vertical="top"/>
    </xf>
    <xf numFmtId="0" fontId="26" fillId="6" borderId="16" xfId="0" applyFont="1" applyFill="1" applyBorder="1" applyAlignment="1">
      <alignment vertical="top" wrapText="1"/>
    </xf>
    <xf numFmtId="0" fontId="26" fillId="5" borderId="37" xfId="0" applyFont="1" applyFill="1" applyBorder="1" applyAlignment="1">
      <alignment horizontal="left" vertical="top" wrapText="1"/>
    </xf>
    <xf numFmtId="0" fontId="35" fillId="0" borderId="0" xfId="0" applyFont="1" applyAlignment="1">
      <alignment wrapText="1"/>
    </xf>
    <xf numFmtId="0" fontId="58" fillId="9" borderId="37" xfId="0" applyFont="1" applyFill="1" applyBorder="1" applyAlignment="1">
      <alignment horizontal="left" vertical="top" wrapText="1"/>
    </xf>
    <xf numFmtId="0" fontId="58" fillId="9" borderId="21" xfId="0" applyFont="1" applyFill="1" applyBorder="1" applyAlignment="1">
      <alignment horizontal="left" vertical="top" wrapText="1"/>
    </xf>
    <xf numFmtId="0" fontId="64" fillId="9" borderId="16" xfId="0" applyFont="1" applyFill="1" applyBorder="1" applyAlignment="1">
      <alignment horizontal="left" vertical="top" wrapText="1"/>
    </xf>
    <xf numFmtId="0" fontId="37" fillId="0" borderId="0" xfId="0" applyFont="1" applyAlignment="1">
      <alignment vertical="center" wrapText="1"/>
    </xf>
    <xf numFmtId="0" fontId="26" fillId="6" borderId="15" xfId="0" applyFont="1" applyFill="1" applyBorder="1" applyAlignment="1">
      <alignment horizontal="left" vertical="top" wrapText="1"/>
    </xf>
    <xf numFmtId="43" fontId="41" fillId="5" borderId="15" xfId="7" applyFont="1" applyFill="1" applyBorder="1" applyAlignment="1">
      <alignment horizontal="right" vertical="top" wrapText="1"/>
    </xf>
    <xf numFmtId="9" fontId="37" fillId="0" borderId="0" xfId="1" applyFont="1" applyAlignment="1">
      <alignment vertical="center" wrapText="1"/>
    </xf>
    <xf numFmtId="0" fontId="25" fillId="0" borderId="16" xfId="0" applyFont="1" applyBorder="1" applyAlignment="1">
      <alignment horizontal="left" vertical="top" wrapText="1"/>
    </xf>
    <xf numFmtId="2" fontId="25" fillId="0" borderId="16" xfId="0" quotePrefix="1" applyNumberFormat="1" applyFont="1" applyBorder="1" applyAlignment="1">
      <alignment horizontal="right" wrapText="1"/>
    </xf>
    <xf numFmtId="2" fontId="25" fillId="0" borderId="16" xfId="0" applyNumberFormat="1" applyFont="1" applyBorder="1" applyAlignment="1">
      <alignment horizontal="right" vertical="top" wrapText="1"/>
    </xf>
    <xf numFmtId="0" fontId="72" fillId="0" borderId="0" xfId="0" applyFont="1"/>
    <xf numFmtId="0" fontId="72" fillId="0" borderId="0" xfId="0" applyFont="1" applyAlignment="1">
      <alignment horizontal="left" vertical="top" wrapText="1"/>
    </xf>
    <xf numFmtId="9" fontId="25" fillId="0" borderId="0" xfId="1" applyFont="1" applyAlignment="1">
      <alignment wrapText="1"/>
    </xf>
    <xf numFmtId="0" fontId="27" fillId="0" borderId="16" xfId="0" applyFont="1" applyBorder="1" applyAlignment="1">
      <alignment horizontal="left" vertical="top" wrapText="1" indent="2"/>
    </xf>
    <xf numFmtId="9" fontId="27" fillId="0" borderId="0" xfId="1" applyFont="1" applyAlignment="1">
      <alignment wrapText="1"/>
    </xf>
    <xf numFmtId="0" fontId="71" fillId="0" borderId="0" xfId="0" applyFont="1" applyAlignment="1">
      <alignment horizontal="left" vertical="top" wrapText="1"/>
    </xf>
    <xf numFmtId="2" fontId="25" fillId="0" borderId="16" xfId="7" quotePrefix="1" applyNumberFormat="1" applyFont="1" applyFill="1" applyBorder="1" applyAlignment="1">
      <alignment horizontal="right" wrapText="1"/>
    </xf>
    <xf numFmtId="2" fontId="27" fillId="0" borderId="16" xfId="7" quotePrefix="1" applyNumberFormat="1" applyFont="1" applyFill="1" applyBorder="1" applyAlignment="1">
      <alignment horizontal="right" wrapText="1"/>
    </xf>
    <xf numFmtId="2" fontId="25" fillId="0" borderId="17" xfId="0" quotePrefix="1" applyNumberFormat="1" applyFont="1" applyBorder="1" applyAlignment="1">
      <alignment horizontal="right" wrapText="1"/>
    </xf>
    <xf numFmtId="2" fontId="25" fillId="0" borderId="17" xfId="0" applyNumberFormat="1" applyFont="1" applyBorder="1" applyAlignment="1">
      <alignment horizontal="right" vertical="top" wrapText="1"/>
    </xf>
    <xf numFmtId="10" fontId="27" fillId="0" borderId="16" xfId="1" applyNumberFormat="1" applyFont="1" applyFill="1" applyBorder="1" applyAlignment="1">
      <alignment horizontal="right" vertical="top" wrapText="1"/>
    </xf>
    <xf numFmtId="2" fontId="27" fillId="4" borderId="16" xfId="0" applyNumberFormat="1" applyFont="1" applyFill="1" applyBorder="1" applyAlignment="1">
      <alignment horizontal="right"/>
    </xf>
    <xf numFmtId="10" fontId="27" fillId="0" borderId="16" xfId="0" applyNumberFormat="1" applyFont="1" applyBorder="1" applyAlignment="1">
      <alignment horizontal="right" vertical="top" wrapText="1"/>
    </xf>
    <xf numFmtId="165" fontId="27" fillId="0" borderId="16" xfId="7" quotePrefix="1" applyNumberFormat="1" applyFont="1" applyFill="1" applyBorder="1" applyAlignment="1">
      <alignment horizontal="right" wrapText="1"/>
    </xf>
    <xf numFmtId="165" fontId="27" fillId="0" borderId="16" xfId="7" applyNumberFormat="1" applyFont="1" applyFill="1" applyBorder="1" applyAlignment="1">
      <alignment horizontal="right" wrapText="1"/>
    </xf>
    <xf numFmtId="2" fontId="27" fillId="0" borderId="16" xfId="0" applyNumberFormat="1" applyFont="1" applyBorder="1"/>
    <xf numFmtId="10" fontId="27" fillId="0" borderId="17" xfId="0" applyNumberFormat="1" applyFont="1" applyBorder="1" applyAlignment="1">
      <alignment horizontal="right" vertical="top" wrapText="1"/>
    </xf>
    <xf numFmtId="165" fontId="27" fillId="0" borderId="17" xfId="7" quotePrefix="1" applyNumberFormat="1" applyFont="1" applyFill="1" applyBorder="1" applyAlignment="1">
      <alignment horizontal="right" wrapText="1"/>
    </xf>
    <xf numFmtId="165" fontId="27" fillId="0" borderId="17" xfId="7" applyNumberFormat="1" applyFont="1" applyFill="1" applyBorder="1" applyAlignment="1">
      <alignment horizontal="right" wrapText="1"/>
    </xf>
    <xf numFmtId="0" fontId="27" fillId="0" borderId="18" xfId="0" applyFont="1" applyBorder="1" applyAlignment="1">
      <alignment horizontal="left" vertical="top"/>
    </xf>
    <xf numFmtId="168" fontId="27" fillId="0" borderId="16" xfId="8" applyNumberFormat="1" applyFont="1" applyBorder="1" applyAlignment="1">
      <alignment vertical="top"/>
    </xf>
    <xf numFmtId="0" fontId="65" fillId="0" borderId="16" xfId="4" applyFont="1" applyBorder="1" applyAlignment="1">
      <alignment vertical="center" wrapText="1"/>
    </xf>
    <xf numFmtId="165" fontId="27" fillId="0" borderId="16" xfId="7" applyNumberFormat="1" applyFont="1" applyBorder="1" applyAlignment="1">
      <alignment horizontal="right" vertical="top" wrapText="1"/>
    </xf>
    <xf numFmtId="0" fontId="36" fillId="0" borderId="0" xfId="4" applyFont="1" applyFill="1" applyBorder="1" applyAlignment="1">
      <alignment horizontal="left" vertical="center" wrapText="1"/>
    </xf>
    <xf numFmtId="0" fontId="27" fillId="0" borderId="37" xfId="0" applyFont="1" applyBorder="1" applyAlignment="1">
      <alignment horizontal="left" vertical="top" wrapText="1"/>
    </xf>
    <xf numFmtId="0" fontId="73" fillId="0" borderId="0" xfId="0" applyFont="1"/>
    <xf numFmtId="0" fontId="74" fillId="0" borderId="0" xfId="0" applyFont="1" applyAlignment="1">
      <alignment horizontal="left" vertical="top" wrapText="1"/>
    </xf>
    <xf numFmtId="43" fontId="23" fillId="0" borderId="0" xfId="7" applyFont="1"/>
    <xf numFmtId="43" fontId="73" fillId="0" borderId="0" xfId="7" applyFont="1"/>
    <xf numFmtId="9" fontId="27" fillId="0" borderId="16" xfId="0" applyNumberFormat="1" applyFont="1" applyBorder="1" applyAlignment="1">
      <alignment horizontal="right" vertical="top" wrapText="1"/>
    </xf>
    <xf numFmtId="9" fontId="27" fillId="0" borderId="16" xfId="1" applyFont="1" applyBorder="1" applyAlignment="1">
      <alignment horizontal="right" vertical="top" wrapText="1"/>
    </xf>
    <xf numFmtId="9" fontId="27" fillId="0" borderId="17" xfId="0" applyNumberFormat="1" applyFont="1" applyBorder="1" applyAlignment="1">
      <alignment horizontal="right" vertical="top" wrapText="1"/>
    </xf>
    <xf numFmtId="0" fontId="25" fillId="0" borderId="43" xfId="0" applyFont="1" applyBorder="1" applyAlignment="1">
      <alignment horizontal="left" vertical="top" wrapText="1"/>
    </xf>
    <xf numFmtId="165" fontId="27" fillId="0" borderId="43" xfId="7" applyNumberFormat="1" applyFont="1" applyBorder="1" applyAlignment="1">
      <alignment horizontal="right" vertical="top" wrapText="1"/>
    </xf>
    <xf numFmtId="165" fontId="27" fillId="0" borderId="0" xfId="7" applyNumberFormat="1" applyFont="1" applyBorder="1" applyAlignment="1">
      <alignment horizontal="right" vertical="top" wrapText="1"/>
    </xf>
    <xf numFmtId="169" fontId="27" fillId="0" borderId="16" xfId="7" applyNumberFormat="1" applyFont="1" applyBorder="1" applyAlignment="1">
      <alignment horizontal="right" vertical="top" wrapText="1"/>
    </xf>
    <xf numFmtId="0" fontId="27" fillId="0" borderId="9" xfId="0" applyFont="1" applyBorder="1"/>
    <xf numFmtId="43" fontId="27" fillId="0" borderId="9" xfId="7" applyFont="1" applyBorder="1"/>
    <xf numFmtId="43" fontId="27" fillId="0" borderId="17" xfId="7" applyFont="1" applyBorder="1"/>
    <xf numFmtId="0" fontId="27" fillId="0" borderId="10" xfId="0" applyFont="1" applyBorder="1"/>
    <xf numFmtId="43" fontId="27" fillId="0" borderId="10" xfId="7" applyFont="1" applyBorder="1"/>
    <xf numFmtId="0" fontId="25" fillId="0" borderId="17" xfId="0" applyFont="1" applyBorder="1" applyAlignment="1">
      <alignment horizontal="left"/>
    </xf>
    <xf numFmtId="0" fontId="25" fillId="0" borderId="25" xfId="0" applyFont="1" applyBorder="1" applyAlignment="1">
      <alignment horizontal="left"/>
    </xf>
    <xf numFmtId="0" fontId="25" fillId="0" borderId="18" xfId="0" applyFont="1" applyBorder="1" applyAlignment="1">
      <alignment horizontal="left"/>
    </xf>
    <xf numFmtId="0" fontId="25" fillId="0" borderId="16" xfId="0" applyFont="1" applyBorder="1" applyAlignment="1">
      <alignment horizontal="left"/>
    </xf>
    <xf numFmtId="0" fontId="25" fillId="0" borderId="20" xfId="0" applyFont="1" applyBorder="1" applyAlignment="1">
      <alignment horizontal="left"/>
    </xf>
    <xf numFmtId="0" fontId="27" fillId="0" borderId="18" xfId="0" applyFont="1" applyBorder="1" applyAlignment="1">
      <alignment horizontal="left" vertical="center" indent="2"/>
    </xf>
    <xf numFmtId="2" fontId="27" fillId="0" borderId="18" xfId="0" applyNumberFormat="1" applyFont="1" applyBorder="1" applyAlignment="1">
      <alignment vertical="center"/>
    </xf>
    <xf numFmtId="2" fontId="27" fillId="0" borderId="16" xfId="0" applyNumberFormat="1" applyFont="1" applyBorder="1" applyAlignment="1">
      <alignment vertical="center"/>
    </xf>
    <xf numFmtId="2" fontId="25" fillId="0" borderId="20" xfId="0" applyNumberFormat="1" applyFont="1" applyBorder="1" applyAlignment="1">
      <alignment horizontal="right" vertical="center"/>
    </xf>
    <xf numFmtId="2" fontId="25" fillId="0" borderId="20" xfId="0" applyNumberFormat="1" applyFont="1" applyBorder="1" applyAlignment="1">
      <alignment horizontal="right" vertical="top"/>
    </xf>
    <xf numFmtId="2" fontId="27" fillId="0" borderId="18" xfId="0" applyNumberFormat="1" applyFont="1" applyBorder="1" applyAlignment="1">
      <alignment horizontal="right" vertical="center"/>
    </xf>
    <xf numFmtId="0" fontId="27" fillId="0" borderId="42" xfId="0" applyFont="1" applyBorder="1" applyAlignment="1">
      <alignment horizontal="left" vertical="center" indent="2"/>
    </xf>
    <xf numFmtId="2" fontId="27" fillId="0" borderId="42" xfId="0" applyNumberFormat="1" applyFont="1" applyBorder="1" applyAlignment="1">
      <alignment vertical="center"/>
    </xf>
    <xf numFmtId="2" fontId="27" fillId="0" borderId="43" xfId="0" applyNumberFormat="1" applyFont="1" applyBorder="1" applyAlignment="1">
      <alignmen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right" vertical="top"/>
    </xf>
    <xf numFmtId="2" fontId="27" fillId="0" borderId="42" xfId="0" applyNumberFormat="1" applyFont="1" applyBorder="1" applyAlignment="1">
      <alignment horizontal="right" vertical="center"/>
    </xf>
    <xf numFmtId="2" fontId="27" fillId="0" borderId="41" xfId="0" applyNumberFormat="1" applyFont="1" applyBorder="1" applyAlignment="1">
      <alignment horizontal="right" vertical="center"/>
    </xf>
    <xf numFmtId="0" fontId="25" fillId="0" borderId="28" xfId="0" applyFont="1" applyBorder="1" applyAlignment="1">
      <alignment vertical="center"/>
    </xf>
    <xf numFmtId="2" fontId="25" fillId="0" borderId="28" xfId="0" applyNumberFormat="1" applyFont="1" applyBorder="1" applyAlignment="1">
      <alignment vertical="center"/>
    </xf>
    <xf numFmtId="2" fontId="25" fillId="0" borderId="15" xfId="0" applyNumberFormat="1" applyFont="1" applyBorder="1" applyAlignment="1">
      <alignment vertical="center"/>
    </xf>
    <xf numFmtId="2" fontId="25" fillId="0" borderId="29" xfId="0" applyNumberFormat="1" applyFont="1" applyBorder="1" applyAlignment="1">
      <alignment vertical="center"/>
    </xf>
    <xf numFmtId="2" fontId="25" fillId="0" borderId="28" xfId="0" applyNumberFormat="1" applyFont="1" applyBorder="1" applyAlignment="1">
      <alignment horizontal="right" vertical="center"/>
    </xf>
    <xf numFmtId="2" fontId="25" fillId="0" borderId="15" xfId="0" applyNumberFormat="1" applyFont="1" applyBorder="1" applyAlignment="1">
      <alignment horizontal="right" vertical="center"/>
    </xf>
    <xf numFmtId="2" fontId="25" fillId="0" borderId="29" xfId="0" applyNumberFormat="1" applyFont="1" applyBorder="1" applyAlignment="1">
      <alignment horizontal="right" vertical="center"/>
    </xf>
    <xf numFmtId="0" fontId="27" fillId="0" borderId="16" xfId="0" applyFont="1" applyBorder="1" applyAlignment="1">
      <alignment horizontal="left" vertical="center" indent="2"/>
    </xf>
    <xf numFmtId="2" fontId="27" fillId="0" borderId="18" xfId="0" applyNumberFormat="1" applyFont="1" applyBorder="1"/>
    <xf numFmtId="2" fontId="25" fillId="0" borderId="20" xfId="0" applyNumberFormat="1" applyFont="1" applyBorder="1"/>
    <xf numFmtId="0" fontId="27" fillId="0" borderId="43" xfId="0" applyFont="1" applyBorder="1" applyAlignment="1">
      <alignment horizontal="left" vertical="center" indent="2"/>
    </xf>
    <xf numFmtId="2" fontId="27" fillId="0" borderId="42" xfId="0" applyNumberFormat="1" applyFont="1" applyBorder="1"/>
    <xf numFmtId="2" fontId="27" fillId="0" borderId="43" xfId="0" applyNumberFormat="1" applyFont="1" applyBorder="1"/>
    <xf numFmtId="2" fontId="25" fillId="0" borderId="41" xfId="0" applyNumberFormat="1" applyFont="1" applyBorder="1"/>
    <xf numFmtId="0" fontId="25" fillId="4" borderId="0" xfId="0" applyFont="1" applyFill="1" applyAlignment="1">
      <alignment horizontal="left" vertical="center" indent="2"/>
    </xf>
    <xf numFmtId="2" fontId="25" fillId="4" borderId="28" xfId="0" applyNumberFormat="1" applyFont="1" applyFill="1" applyBorder="1" applyAlignment="1">
      <alignment horizontal="right" vertical="center"/>
    </xf>
    <xf numFmtId="2" fontId="25" fillId="4" borderId="15" xfId="0" applyNumberFormat="1" applyFont="1" applyFill="1" applyBorder="1" applyAlignment="1">
      <alignment horizontal="right" vertical="center"/>
    </xf>
    <xf numFmtId="0" fontId="25" fillId="4" borderId="28" xfId="0" applyFont="1" applyFill="1" applyBorder="1" applyAlignment="1">
      <alignment horizontal="right" vertical="center"/>
    </xf>
    <xf numFmtId="0" fontId="25" fillId="4" borderId="15" xfId="0" applyFont="1" applyFill="1" applyBorder="1" applyAlignment="1">
      <alignment horizontal="right" vertical="center"/>
    </xf>
    <xf numFmtId="0" fontId="25" fillId="4" borderId="29" xfId="0" applyFont="1" applyFill="1" applyBorder="1" applyAlignment="1">
      <alignment horizontal="right" vertical="center"/>
    </xf>
    <xf numFmtId="0" fontId="25" fillId="0" borderId="0" xfId="0" applyFont="1" applyAlignment="1">
      <alignment horizontal="left" vertical="center" indent="2"/>
    </xf>
    <xf numFmtId="0" fontId="25" fillId="0" borderId="28" xfId="0" applyFont="1" applyBorder="1" applyAlignment="1">
      <alignment horizontal="right" vertical="center"/>
    </xf>
    <xf numFmtId="0" fontId="25" fillId="0" borderId="29" xfId="0" applyFont="1" applyBorder="1" applyAlignment="1">
      <alignment horizontal="right" vertical="center"/>
    </xf>
    <xf numFmtId="2" fontId="25" fillId="0" borderId="28" xfId="0" applyNumberFormat="1" applyFont="1" applyBorder="1"/>
    <xf numFmtId="2" fontId="25" fillId="0" borderId="15" xfId="0" applyNumberFormat="1" applyFont="1" applyBorder="1"/>
    <xf numFmtId="2" fontId="25" fillId="0" borderId="29" xfId="0" applyNumberFormat="1" applyFont="1" applyBorder="1"/>
    <xf numFmtId="0" fontId="25" fillId="0" borderId="28" xfId="0" applyFont="1" applyBorder="1" applyAlignment="1">
      <alignment horizontal="left" vertical="center" indent="2"/>
    </xf>
    <xf numFmtId="0" fontId="27" fillId="0" borderId="18" xfId="0" applyFont="1" applyBorder="1" applyAlignment="1">
      <alignment wrapText="1"/>
    </xf>
    <xf numFmtId="43" fontId="25" fillId="0" borderId="21" xfId="7" applyFont="1" applyFill="1" applyBorder="1" applyAlignment="1">
      <alignment wrapText="1"/>
    </xf>
    <xf numFmtId="43" fontId="27" fillId="0" borderId="16" xfId="7" applyFont="1" applyBorder="1" applyAlignment="1">
      <alignment wrapText="1"/>
    </xf>
    <xf numFmtId="43" fontId="27" fillId="0" borderId="22" xfId="7" applyFont="1" applyBorder="1" applyAlignment="1">
      <alignment wrapText="1"/>
    </xf>
    <xf numFmtId="43" fontId="25" fillId="0" borderId="16" xfId="7" applyFont="1" applyFill="1" applyBorder="1" applyAlignment="1">
      <alignment wrapText="1"/>
    </xf>
    <xf numFmtId="43" fontId="27" fillId="0" borderId="16" xfId="7" applyFont="1" applyBorder="1" applyAlignment="1">
      <alignment horizontal="right" vertical="center"/>
    </xf>
    <xf numFmtId="43" fontId="27" fillId="0" borderId="22" xfId="7" applyFont="1" applyBorder="1" applyAlignment="1">
      <alignment horizontal="right" vertical="center"/>
    </xf>
    <xf numFmtId="43" fontId="25" fillId="0" borderId="21" xfId="7" applyFont="1" applyFill="1" applyBorder="1" applyAlignment="1">
      <alignment horizontal="right" vertical="center"/>
    </xf>
    <xf numFmtId="43" fontId="27" fillId="0" borderId="16" xfId="7" applyFont="1" applyFill="1" applyBorder="1" applyAlignment="1">
      <alignment horizontal="right" vertical="center"/>
    </xf>
    <xf numFmtId="43" fontId="27" fillId="0" borderId="20" xfId="7" applyFont="1" applyFill="1" applyBorder="1" applyAlignment="1">
      <alignment horizontal="right" vertical="center"/>
    </xf>
    <xf numFmtId="43" fontId="27" fillId="0" borderId="22" xfId="7" applyFont="1" applyBorder="1" applyAlignment="1">
      <alignment horizontal="right" wrapText="1"/>
    </xf>
    <xf numFmtId="43" fontId="25" fillId="0" borderId="16" xfId="7" applyFont="1" applyFill="1" applyBorder="1" applyAlignment="1">
      <alignment horizontal="right" vertical="center"/>
    </xf>
    <xf numFmtId="43" fontId="27" fillId="0" borderId="16" xfId="7" applyFont="1" applyBorder="1" applyAlignment="1">
      <alignment horizontal="right" wrapText="1"/>
    </xf>
    <xf numFmtId="43" fontId="27" fillId="0" borderId="20" xfId="7" applyFont="1" applyFill="1" applyBorder="1" applyAlignment="1">
      <alignment horizontal="right" wrapText="1"/>
    </xf>
    <xf numFmtId="43" fontId="25" fillId="0" borderId="21" xfId="7" applyFont="1" applyFill="1" applyBorder="1" applyAlignment="1">
      <alignment horizontal="right" wrapText="1"/>
    </xf>
    <xf numFmtId="43" fontId="25" fillId="0" borderId="16" xfId="7" applyFont="1" applyFill="1" applyBorder="1" applyAlignment="1">
      <alignment horizontal="right" wrapText="1"/>
    </xf>
    <xf numFmtId="43" fontId="27" fillId="0" borderId="16" xfId="7" applyFont="1" applyFill="1" applyBorder="1" applyAlignment="1">
      <alignment horizontal="right" wrapText="1"/>
    </xf>
    <xf numFmtId="0" fontId="27" fillId="4" borderId="16" xfId="0" applyFont="1" applyFill="1" applyBorder="1" applyAlignment="1">
      <alignment vertical="center" wrapText="1"/>
    </xf>
    <xf numFmtId="43" fontId="27" fillId="4" borderId="16" xfId="7" applyFont="1" applyFill="1" applyBorder="1" applyAlignment="1">
      <alignment horizontal="right" vertical="center" wrapText="1"/>
    </xf>
    <xf numFmtId="17" fontId="27" fillId="4" borderId="16" xfId="0" applyNumberFormat="1" applyFont="1" applyFill="1" applyBorder="1" applyAlignment="1">
      <alignment horizontal="left" vertical="center" wrapText="1"/>
    </xf>
    <xf numFmtId="0" fontId="23" fillId="4" borderId="0" xfId="0" applyFont="1" applyFill="1"/>
    <xf numFmtId="0" fontId="27" fillId="4" borderId="17" xfId="0" applyFont="1" applyFill="1" applyBorder="1" applyAlignment="1">
      <alignment vertical="center" wrapText="1"/>
    </xf>
    <xf numFmtId="43" fontId="27" fillId="4" borderId="17" xfId="7" applyFont="1" applyFill="1" applyBorder="1" applyAlignment="1">
      <alignment horizontal="right" vertical="center" wrapText="1"/>
    </xf>
    <xf numFmtId="17" fontId="27" fillId="4" borderId="17" xfId="0" applyNumberFormat="1" applyFont="1" applyFill="1" applyBorder="1" applyAlignment="1">
      <alignment horizontal="left" vertical="center" wrapText="1"/>
    </xf>
    <xf numFmtId="0" fontId="27" fillId="0" borderId="20" xfId="0" applyFont="1" applyBorder="1" applyAlignment="1">
      <alignment horizontal="left" vertical="center" wrapText="1"/>
    </xf>
    <xf numFmtId="0" fontId="27" fillId="3" borderId="16" xfId="0" applyFont="1" applyFill="1" applyBorder="1" applyAlignment="1">
      <alignment horizontal="left" vertical="center"/>
    </xf>
    <xf numFmtId="0" fontId="27" fillId="0" borderId="18" xfId="0" applyFont="1" applyBorder="1" applyAlignment="1">
      <alignment vertical="top"/>
    </xf>
    <xf numFmtId="0" fontId="27" fillId="0" borderId="31" xfId="0" applyFont="1" applyBorder="1" applyAlignment="1">
      <alignment wrapText="1"/>
    </xf>
    <xf numFmtId="43" fontId="27" fillId="2" borderId="31" xfId="7" applyFont="1" applyFill="1" applyBorder="1" applyAlignment="1">
      <alignment horizontal="right"/>
    </xf>
    <xf numFmtId="43" fontId="27" fillId="0" borderId="3" xfId="7" applyFont="1" applyBorder="1" applyAlignment="1">
      <alignment horizontal="right"/>
    </xf>
    <xf numFmtId="43" fontId="27" fillId="0" borderId="32" xfId="7" applyFont="1" applyBorder="1" applyAlignment="1">
      <alignment horizontal="right"/>
    </xf>
    <xf numFmtId="43" fontId="27" fillId="2" borderId="31" xfId="7" applyFont="1" applyFill="1" applyBorder="1" applyAlignment="1">
      <alignment horizontal="right" wrapText="1"/>
    </xf>
    <xf numFmtId="43" fontId="27" fillId="0" borderId="3" xfId="7" applyFont="1" applyBorder="1" applyAlignment="1">
      <alignment horizontal="right" wrapText="1"/>
    </xf>
    <xf numFmtId="43" fontId="27" fillId="0" borderId="32" xfId="7" applyFont="1" applyBorder="1" applyAlignment="1">
      <alignment horizontal="right" wrapText="1"/>
    </xf>
    <xf numFmtId="0" fontId="27" fillId="0" borderId="33" xfId="0" applyFont="1" applyBorder="1" applyAlignment="1">
      <alignment vertical="top" wrapText="1"/>
    </xf>
    <xf numFmtId="43" fontId="27" fillId="2" borderId="33" xfId="7" applyFont="1" applyFill="1" applyBorder="1" applyAlignment="1">
      <alignment horizontal="right" vertical="top" wrapText="1"/>
    </xf>
    <xf numFmtId="43" fontId="27" fillId="0" borderId="19" xfId="7" applyFont="1" applyBorder="1" applyAlignment="1">
      <alignment horizontal="right" vertical="top" wrapText="1"/>
    </xf>
    <xf numFmtId="43" fontId="27" fillId="0" borderId="34" xfId="7" applyFont="1" applyBorder="1" applyAlignment="1">
      <alignment horizontal="right" vertical="top" wrapText="1"/>
    </xf>
    <xf numFmtId="43" fontId="27" fillId="2" borderId="31" xfId="7" applyFont="1" applyFill="1" applyBorder="1" applyAlignment="1">
      <alignment wrapText="1"/>
    </xf>
    <xf numFmtId="43" fontId="27" fillId="0" borderId="3" xfId="7" applyFont="1" applyBorder="1" applyAlignment="1">
      <alignment wrapText="1"/>
    </xf>
    <xf numFmtId="43" fontId="27" fillId="0" borderId="32" xfId="7" applyFont="1" applyBorder="1" applyAlignment="1">
      <alignment horizontal="right" vertical="center" wrapText="1"/>
    </xf>
    <xf numFmtId="43" fontId="27" fillId="0" borderId="32" xfId="7" applyFont="1" applyBorder="1" applyAlignment="1">
      <alignment wrapText="1"/>
    </xf>
    <xf numFmtId="43" fontId="27" fillId="0" borderId="3" xfId="7" applyFont="1" applyBorder="1" applyAlignment="1">
      <alignment vertical="center" wrapText="1"/>
    </xf>
    <xf numFmtId="43" fontId="27" fillId="0" borderId="32" xfId="7" applyFont="1" applyBorder="1" applyAlignment="1">
      <alignment vertical="center" wrapText="1"/>
    </xf>
    <xf numFmtId="0" fontId="27" fillId="0" borderId="31" xfId="0" applyFont="1" applyBorder="1" applyAlignment="1">
      <alignment horizontal="left" wrapText="1" indent="2"/>
    </xf>
    <xf numFmtId="0" fontId="25" fillId="0" borderId="31" xfId="0" applyFont="1" applyBorder="1" applyAlignment="1">
      <alignment wrapText="1"/>
    </xf>
    <xf numFmtId="43" fontId="25" fillId="2" borderId="31" xfId="7" applyFont="1" applyFill="1" applyBorder="1" applyAlignment="1">
      <alignment vertical="top" wrapText="1"/>
    </xf>
    <xf numFmtId="43" fontId="25" fillId="0" borderId="3" xfId="7" applyFont="1" applyBorder="1" applyAlignment="1">
      <alignment vertical="top" wrapText="1"/>
    </xf>
    <xf numFmtId="43" fontId="25" fillId="0" borderId="32" xfId="7" applyFont="1" applyBorder="1" applyAlignment="1">
      <alignment vertical="top" wrapText="1"/>
    </xf>
    <xf numFmtId="0" fontId="25" fillId="0" borderId="24" xfId="0" applyFont="1" applyBorder="1" applyAlignment="1">
      <alignment horizontal="left" vertical="top"/>
    </xf>
    <xf numFmtId="0" fontId="25" fillId="0" borderId="17" xfId="0" applyFont="1" applyBorder="1" applyAlignment="1">
      <alignment horizontal="left" vertical="top"/>
    </xf>
    <xf numFmtId="0" fontId="25" fillId="0" borderId="25" xfId="0" applyFont="1" applyBorder="1" applyAlignment="1">
      <alignment horizontal="left" vertical="top"/>
    </xf>
    <xf numFmtId="43" fontId="27" fillId="0" borderId="3" xfId="7" applyFont="1" applyBorder="1" applyAlignment="1">
      <alignment vertical="top" wrapText="1"/>
    </xf>
    <xf numFmtId="43" fontId="27" fillId="0" borderId="32" xfId="7" applyFont="1" applyBorder="1" applyAlignment="1">
      <alignment vertical="top" wrapText="1"/>
    </xf>
    <xf numFmtId="43" fontId="27" fillId="0" borderId="32" xfId="7" applyFont="1" applyFill="1" applyBorder="1" applyAlignment="1">
      <alignment vertical="top" wrapText="1"/>
    </xf>
    <xf numFmtId="43" fontId="27" fillId="0" borderId="3" xfId="7" applyFont="1" applyBorder="1" applyAlignment="1">
      <alignment horizontal="right" vertical="top" wrapText="1"/>
    </xf>
    <xf numFmtId="43" fontId="27" fillId="0" borderId="32" xfId="7" applyFont="1" applyBorder="1" applyAlignment="1">
      <alignment horizontal="right" vertical="top" wrapText="1"/>
    </xf>
    <xf numFmtId="0" fontId="27" fillId="0" borderId="33" xfId="0" applyFont="1" applyBorder="1" applyAlignment="1">
      <alignment wrapText="1"/>
    </xf>
    <xf numFmtId="43" fontId="27" fillId="2" borderId="33" xfId="7" applyFont="1" applyFill="1" applyBorder="1" applyAlignment="1">
      <alignment horizontal="right" vertical="center" wrapText="1"/>
    </xf>
    <xf numFmtId="43" fontId="27" fillId="0" borderId="19" xfId="7" applyFont="1" applyBorder="1" applyAlignment="1">
      <alignment horizontal="right" vertical="center" wrapText="1"/>
    </xf>
    <xf numFmtId="43" fontId="27" fillId="0" borderId="34" xfId="7" applyFont="1" applyFill="1" applyBorder="1" applyAlignment="1">
      <alignment horizontal="right" vertical="center" wrapText="1"/>
    </xf>
    <xf numFmtId="43" fontId="27" fillId="0" borderId="34" xfId="7" applyFont="1" applyBorder="1" applyAlignment="1">
      <alignment horizontal="right" vertical="center" wrapText="1"/>
    </xf>
    <xf numFmtId="43" fontId="25" fillId="2" borderId="18" xfId="7" applyFont="1" applyFill="1" applyBorder="1" applyAlignment="1">
      <alignment wrapText="1"/>
    </xf>
    <xf numFmtId="43" fontId="27" fillId="0" borderId="16" xfId="7" applyFont="1" applyFill="1" applyBorder="1" applyAlignment="1">
      <alignment horizontal="right" vertical="center" wrapText="1"/>
    </xf>
    <xf numFmtId="43" fontId="27" fillId="0" borderId="20" xfId="7" applyFont="1" applyFill="1" applyBorder="1" applyAlignment="1">
      <alignment horizontal="right" vertical="center" wrapText="1"/>
    </xf>
    <xf numFmtId="43" fontId="25" fillId="2" borderId="18" xfId="7" applyFont="1" applyFill="1" applyBorder="1" applyAlignment="1">
      <alignment horizontal="right" vertical="top"/>
    </xf>
    <xf numFmtId="43" fontId="27" fillId="0" borderId="20" xfId="7" applyFont="1" applyFill="1" applyBorder="1" applyAlignment="1">
      <alignment horizontal="right" vertical="top" wrapText="1"/>
    </xf>
    <xf numFmtId="9" fontId="25" fillId="2" borderId="18" xfId="1" applyFont="1" applyFill="1" applyBorder="1" applyAlignment="1">
      <alignment wrapText="1"/>
    </xf>
    <xf numFmtId="9" fontId="27" fillId="0" borderId="20" xfId="1" applyFont="1" applyFill="1" applyBorder="1" applyAlignment="1">
      <alignment horizontal="right" vertical="top" wrapText="1"/>
    </xf>
    <xf numFmtId="9" fontId="25" fillId="2" borderId="18" xfId="1" applyFont="1" applyFill="1" applyBorder="1" applyAlignment="1">
      <alignment horizontal="right" vertical="top"/>
    </xf>
    <xf numFmtId="43" fontId="25" fillId="0" borderId="16" xfId="7" applyFont="1" applyBorder="1" applyAlignment="1">
      <alignment horizontal="right" vertical="top" wrapText="1"/>
    </xf>
    <xf numFmtId="43" fontId="25" fillId="0" borderId="20" xfId="7" applyFont="1" applyBorder="1" applyAlignment="1">
      <alignment horizontal="right" vertical="top" wrapText="1"/>
    </xf>
    <xf numFmtId="43" fontId="27" fillId="0" borderId="16" xfId="7" applyFont="1" applyBorder="1" applyAlignment="1">
      <alignment horizontal="right" vertical="top" wrapText="1"/>
    </xf>
    <xf numFmtId="43" fontId="27" fillId="0" borderId="16" xfId="7" quotePrefix="1" applyFont="1" applyBorder="1" applyAlignment="1">
      <alignment horizontal="right" vertical="top" wrapText="1"/>
    </xf>
    <xf numFmtId="43" fontId="27" fillId="0" borderId="20" xfId="7" applyFont="1" applyBorder="1" applyAlignment="1">
      <alignment horizontal="right" vertical="top" wrapText="1"/>
    </xf>
    <xf numFmtId="43" fontId="25" fillId="0" borderId="16" xfId="7" quotePrefix="1" applyFont="1" applyBorder="1" applyAlignment="1">
      <alignment horizontal="right" vertical="top" wrapText="1"/>
    </xf>
    <xf numFmtId="43" fontId="25" fillId="0" borderId="16" xfId="7" quotePrefix="1" applyFont="1" applyFill="1" applyBorder="1" applyAlignment="1">
      <alignment horizontal="right" vertical="top" wrapText="1"/>
    </xf>
    <xf numFmtId="9" fontId="25" fillId="0" borderId="16" xfId="1" applyFont="1" applyFill="1" applyBorder="1" applyAlignment="1">
      <alignment horizontal="right" vertical="top" wrapText="1"/>
    </xf>
    <xf numFmtId="9" fontId="25" fillId="0" borderId="16" xfId="1" quotePrefix="1" applyFont="1" applyFill="1" applyBorder="1" applyAlignment="1">
      <alignment horizontal="right" vertical="top" wrapText="1"/>
    </xf>
    <xf numFmtId="9" fontId="25" fillId="0" borderId="20" xfId="1" applyFont="1" applyFill="1" applyBorder="1" applyAlignment="1">
      <alignment horizontal="right" vertical="top" wrapText="1"/>
    </xf>
    <xf numFmtId="0" fontId="27" fillId="0" borderId="18" xfId="0" quotePrefix="1" applyFont="1" applyBorder="1" applyAlignment="1">
      <alignment horizontal="left" vertical="top" wrapText="1"/>
    </xf>
    <xf numFmtId="0" fontId="23" fillId="0" borderId="0" xfId="0" applyFont="1" applyAlignment="1">
      <alignment vertical="top"/>
    </xf>
    <xf numFmtId="0" fontId="21" fillId="0" borderId="7" xfId="5" applyFont="1" applyBorder="1" applyAlignment="1">
      <alignment horizontal="left"/>
    </xf>
    <xf numFmtId="0" fontId="27" fillId="0" borderId="0" xfId="0" applyFont="1" applyAlignment="1">
      <alignment horizontal="left" vertical="top" wrapText="1"/>
    </xf>
    <xf numFmtId="0" fontId="19" fillId="0" borderId="7" xfId="5" applyFont="1" applyBorder="1" applyAlignment="1">
      <alignment horizontal="left"/>
    </xf>
    <xf numFmtId="0" fontId="36"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top"/>
    </xf>
    <xf numFmtId="0" fontId="27" fillId="3" borderId="0" xfId="0" applyFont="1" applyFill="1" applyAlignment="1">
      <alignment horizontal="left" vertical="center" wrapText="1"/>
    </xf>
    <xf numFmtId="12" fontId="27" fillId="0" borderId="15" xfId="1" applyNumberFormat="1" applyFont="1" applyFill="1" applyBorder="1" applyAlignment="1">
      <alignment horizontal="left" vertical="top"/>
    </xf>
    <xf numFmtId="0" fontId="27" fillId="0" borderId="0" xfId="0" applyFont="1" applyAlignment="1">
      <alignment horizontal="left" vertical="center"/>
    </xf>
    <xf numFmtId="0" fontId="27" fillId="0" borderId="16" xfId="0" applyFont="1" applyBorder="1" applyAlignment="1">
      <alignment horizontal="left" vertical="center" wrapText="1"/>
    </xf>
    <xf numFmtId="0" fontId="22" fillId="0" borderId="7" xfId="5" applyFont="1" applyBorder="1" applyAlignment="1">
      <alignment horizontal="left"/>
    </xf>
    <xf numFmtId="0" fontId="25"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xf>
    <xf numFmtId="0" fontId="19" fillId="0" borderId="1" xfId="2" applyFont="1" applyAlignment="1">
      <alignment horizontal="left" wrapText="1"/>
    </xf>
    <xf numFmtId="0" fontId="19" fillId="0" borderId="1" xfId="2" applyFont="1" applyAlignment="1">
      <alignment horizontal="left"/>
    </xf>
    <xf numFmtId="0" fontId="27" fillId="0" borderId="0" xfId="0" applyFont="1" applyAlignment="1">
      <alignment vertical="center" wrapText="1"/>
    </xf>
    <xf numFmtId="0" fontId="27" fillId="0" borderId="15" xfId="0" applyFont="1" applyBorder="1" applyAlignment="1">
      <alignment horizontal="left" vertical="top" wrapText="1"/>
    </xf>
    <xf numFmtId="0" fontId="37" fillId="0" borderId="0" xfId="0" applyFont="1" applyAlignment="1">
      <alignment horizontal="left" vertical="center" wrapText="1" indent="2"/>
    </xf>
    <xf numFmtId="0" fontId="25" fillId="0" borderId="24" xfId="0" applyFont="1" applyBorder="1" applyAlignment="1">
      <alignment horizontal="left" vertical="top" wrapText="1"/>
    </xf>
    <xf numFmtId="0" fontId="25" fillId="0" borderId="17" xfId="0" applyFont="1" applyBorder="1" applyAlignment="1">
      <alignment horizontal="left" vertical="top" wrapText="1"/>
    </xf>
    <xf numFmtId="0" fontId="25" fillId="0" borderId="25" xfId="0" applyFont="1" applyBorder="1" applyAlignment="1">
      <alignment horizontal="left" vertical="top" wrapText="1"/>
    </xf>
    <xf numFmtId="0" fontId="25" fillId="0" borderId="24" xfId="0" quotePrefix="1" applyFont="1" applyBorder="1" applyAlignment="1">
      <alignment horizontal="left" wrapText="1"/>
    </xf>
    <xf numFmtId="0" fontId="25" fillId="0" borderId="17" xfId="0" quotePrefix="1" applyFont="1" applyBorder="1" applyAlignment="1">
      <alignment horizontal="left" wrapText="1"/>
    </xf>
    <xf numFmtId="0" fontId="25" fillId="0" borderId="25" xfId="0" quotePrefix="1" applyFont="1" applyBorder="1" applyAlignment="1">
      <alignment horizontal="left"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44" fillId="0" borderId="0" xfId="0" applyFont="1" applyAlignment="1">
      <alignment horizontal="left" vertical="top" wrapText="1"/>
    </xf>
    <xf numFmtId="0" fontId="36" fillId="0" borderId="24" xfId="0" applyFont="1" applyBorder="1" applyAlignment="1">
      <alignment horizontal="left" vertical="center" wrapText="1"/>
    </xf>
    <xf numFmtId="0" fontId="36" fillId="0" borderId="17" xfId="0" applyFont="1" applyBorder="1" applyAlignment="1">
      <alignment horizontal="left" vertical="center" wrapText="1"/>
    </xf>
    <xf numFmtId="0" fontId="36" fillId="0" borderId="25" xfId="0" applyFont="1" applyBorder="1" applyAlignment="1">
      <alignment horizontal="left" vertical="center" wrapText="1"/>
    </xf>
    <xf numFmtId="0" fontId="27" fillId="0" borderId="0" xfId="0" applyFont="1" applyAlignment="1">
      <alignment vertical="top" wrapText="1"/>
    </xf>
    <xf numFmtId="0" fontId="27" fillId="0" borderId="0" xfId="0" applyFont="1" applyAlignment="1">
      <alignment vertical="top"/>
    </xf>
    <xf numFmtId="0" fontId="25" fillId="0" borderId="18" xfId="0" applyFont="1" applyBorder="1" applyAlignment="1">
      <alignment vertical="center"/>
    </xf>
    <xf numFmtId="0" fontId="25" fillId="0" borderId="16" xfId="0" applyFont="1" applyBorder="1" applyAlignment="1">
      <alignment vertical="center"/>
    </xf>
    <xf numFmtId="0" fontId="25" fillId="0" borderId="20" xfId="0" applyFont="1" applyBorder="1" applyAlignment="1">
      <alignment vertical="center"/>
    </xf>
    <xf numFmtId="0" fontId="27" fillId="0" borderId="2" xfId="0" applyFont="1" applyBorder="1" applyAlignment="1">
      <alignment horizontal="left" vertical="top" wrapText="1"/>
    </xf>
    <xf numFmtId="0" fontId="26" fillId="7" borderId="16" xfId="0" applyFont="1" applyFill="1" applyBorder="1" applyAlignment="1">
      <alignment horizontal="left" wrapText="1"/>
    </xf>
    <xf numFmtId="0" fontId="26" fillId="7" borderId="20" xfId="0" applyFont="1" applyFill="1" applyBorder="1" applyAlignment="1">
      <alignment horizontal="left" wrapText="1"/>
    </xf>
    <xf numFmtId="0" fontId="23" fillId="0" borderId="0" xfId="0" applyFont="1" applyAlignment="1">
      <alignment vertical="center" wrapText="1"/>
    </xf>
    <xf numFmtId="0" fontId="27" fillId="10" borderId="0" xfId="0" applyFont="1" applyFill="1" applyAlignment="1">
      <alignment vertical="center" wrapText="1"/>
    </xf>
    <xf numFmtId="0" fontId="27" fillId="10" borderId="27" xfId="0" applyFont="1" applyFill="1" applyBorder="1" applyAlignment="1">
      <alignment vertical="center" wrapText="1"/>
    </xf>
    <xf numFmtId="0" fontId="27" fillId="0" borderId="15" xfId="0" applyFont="1" applyBorder="1" applyAlignment="1">
      <alignment vertical="center" wrapText="1"/>
    </xf>
    <xf numFmtId="0" fontId="27" fillId="0" borderId="29" xfId="0" applyFont="1" applyBorder="1" applyAlignment="1">
      <alignment vertical="center" wrapText="1"/>
    </xf>
    <xf numFmtId="0" fontId="25" fillId="0" borderId="0" xfId="0" applyFont="1" applyAlignment="1">
      <alignment vertical="center" wrapText="1"/>
    </xf>
    <xf numFmtId="0" fontId="27" fillId="0" borderId="26" xfId="0" applyFont="1" applyBorder="1" applyAlignment="1">
      <alignment horizontal="left" vertical="top" wrapText="1"/>
    </xf>
    <xf numFmtId="0" fontId="27" fillId="0" borderId="27" xfId="0" applyFont="1" applyBorder="1" applyAlignment="1">
      <alignment vertical="center" wrapText="1"/>
    </xf>
    <xf numFmtId="0" fontId="25" fillId="10" borderId="26" xfId="0" applyFont="1" applyFill="1" applyBorder="1" applyAlignment="1">
      <alignment vertical="top" wrapText="1"/>
    </xf>
    <xf numFmtId="0" fontId="27" fillId="10" borderId="0" xfId="0" applyFont="1" applyFill="1" applyAlignment="1">
      <alignment horizontal="left" vertical="center" wrapText="1" indent="2"/>
    </xf>
    <xf numFmtId="0" fontId="25" fillId="0" borderId="17" xfId="0" applyFont="1" applyBorder="1" applyAlignment="1">
      <alignment vertical="center" wrapText="1"/>
    </xf>
    <xf numFmtId="0" fontId="25" fillId="0" borderId="25" xfId="0" applyFont="1" applyBorder="1" applyAlignment="1">
      <alignment vertical="center" wrapText="1"/>
    </xf>
    <xf numFmtId="0" fontId="37" fillId="0" borderId="0" xfId="0" applyFont="1" applyAlignment="1">
      <alignment horizontal="left" vertical="center" indent="2"/>
    </xf>
    <xf numFmtId="0" fontId="27" fillId="0" borderId="50" xfId="0" quotePrefix="1" applyFont="1" applyBorder="1" applyAlignment="1">
      <alignment horizontal="left" vertical="top" wrapText="1"/>
    </xf>
    <xf numFmtId="0" fontId="27" fillId="0" borderId="50" xfId="0" applyFont="1" applyBorder="1" applyAlignment="1">
      <alignment horizontal="left" vertical="top" wrapText="1"/>
    </xf>
    <xf numFmtId="0" fontId="27" fillId="0" borderId="51" xfId="0" applyFont="1" applyBorder="1" applyAlignment="1">
      <alignment horizontal="left" vertical="top" wrapText="1"/>
    </xf>
    <xf numFmtId="0" fontId="27" fillId="0" borderId="21" xfId="0" quotePrefix="1" applyFont="1" applyBorder="1" applyAlignment="1">
      <alignment horizontal="left" vertical="top" wrapText="1"/>
    </xf>
    <xf numFmtId="0" fontId="27" fillId="0" borderId="16" xfId="0" quotePrefix="1" applyFont="1" applyBorder="1" applyAlignment="1">
      <alignment horizontal="left" vertical="top" wrapText="1"/>
    </xf>
    <xf numFmtId="0" fontId="27" fillId="0" borderId="20" xfId="0" quotePrefix="1" applyFont="1" applyBorder="1" applyAlignment="1">
      <alignment horizontal="left" vertical="top" wrapText="1"/>
    </xf>
    <xf numFmtId="0" fontId="26" fillId="5" borderId="21"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20" xfId="0" applyFont="1" applyFill="1" applyBorder="1" applyAlignment="1">
      <alignment horizontal="left" vertical="top" wrapText="1"/>
    </xf>
    <xf numFmtId="0" fontId="27" fillId="0" borderId="0" xfId="4" applyFont="1" applyFill="1" applyBorder="1" applyAlignment="1">
      <alignment horizontal="left" vertical="center" wrapText="1"/>
    </xf>
    <xf numFmtId="0" fontId="27" fillId="0" borderId="20" xfId="0" applyFont="1" applyBorder="1" applyAlignment="1">
      <alignment horizontal="left" vertical="top" wrapText="1"/>
    </xf>
    <xf numFmtId="0" fontId="37" fillId="0" borderId="0" xfId="0" applyFont="1" applyAlignment="1">
      <alignment vertical="center" wrapText="1"/>
    </xf>
    <xf numFmtId="0" fontId="25" fillId="0" borderId="18" xfId="0" applyFont="1" applyBorder="1" applyAlignment="1">
      <alignment horizontal="left"/>
    </xf>
    <xf numFmtId="0" fontId="25" fillId="0" borderId="16" xfId="0" applyFont="1" applyBorder="1" applyAlignment="1">
      <alignment horizontal="left"/>
    </xf>
    <xf numFmtId="0" fontId="25" fillId="0" borderId="20" xfId="0" applyFont="1" applyBorder="1" applyAlignment="1">
      <alignment horizontal="left"/>
    </xf>
    <xf numFmtId="0" fontId="25" fillId="0" borderId="24" xfId="0" applyFont="1" applyBorder="1" applyAlignment="1">
      <alignment horizontal="left"/>
    </xf>
    <xf numFmtId="0" fontId="25" fillId="0" borderId="17" xfId="0" applyFont="1" applyBorder="1" applyAlignment="1">
      <alignment horizontal="left"/>
    </xf>
    <xf numFmtId="0" fontId="25" fillId="0" borderId="25" xfId="0" applyFont="1" applyBorder="1" applyAlignment="1">
      <alignment horizontal="left"/>
    </xf>
    <xf numFmtId="0" fontId="27" fillId="0" borderId="18" xfId="0" applyFont="1" applyBorder="1" applyAlignment="1">
      <alignment horizontal="left" vertical="top"/>
    </xf>
    <xf numFmtId="0" fontId="27" fillId="0" borderId="0" xfId="0" applyFont="1" applyAlignment="1">
      <alignment vertical="center"/>
    </xf>
    <xf numFmtId="0" fontId="27" fillId="0" borderId="0" xfId="0" quotePrefix="1" applyFont="1" applyAlignment="1">
      <alignment horizontal="left" vertical="top" wrapText="1"/>
    </xf>
  </cellXfs>
  <cellStyles count="10">
    <cellStyle name="Comma" xfId="7" builtinId="3"/>
    <cellStyle name="FRxAmtStyle" xfId="8" xr:uid="{B0CD4CC8-0B51-4EBE-A5F4-58EFD335CBFE}"/>
    <cellStyle name="Heading 1" xfId="2" builtinId="16" customBuiltin="1"/>
    <cellStyle name="Heading 2" xfId="5" builtinId="17"/>
    <cellStyle name="Heading 4" xfId="3" builtinId="19"/>
    <cellStyle name="Hyperlink" xfId="4" builtinId="8"/>
    <cellStyle name="Normal" xfId="0" builtinId="0"/>
    <cellStyle name="Percent" xfId="1" builtinId="5"/>
    <cellStyle name="Title" xfId="9" builtinId="15"/>
    <cellStyle name="Total" xfId="6" builtinId="25"/>
  </cellStyles>
  <dxfs count="815">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fill>
        <patternFill patternType="solid">
          <fgColor indexed="64"/>
          <bgColor theme="2"/>
        </patternFill>
      </fill>
      <alignment horizontal="right" vertical="top" textRotation="0" wrapText="0" indent="0" justifyLastLine="0" shrinkToFit="0" readingOrder="0"/>
      <border diagonalUp="0" diagonalDown="0" outline="0">
        <left style="thin">
          <color rgb="FF013248"/>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border diagonalUp="0" diagonalDown="0" outline="0">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fill>
        <patternFill patternType="solid">
          <fgColor indexed="64"/>
          <bgColor theme="2"/>
        </patternFill>
      </fill>
      <alignment horizontal="right" vertical="top" textRotation="0" wrapText="0" indent="0" justifyLastLine="0" shrinkToFit="0" readingOrder="0"/>
      <border diagonalUp="0" diagonalDown="0" outline="0">
        <left style="thin">
          <color rgb="FF013248"/>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35" formatCode="_-* #,##0.00_-;\-* #,##0.00_-;_-* &quot;-&quot;??_-;_-@_-"/>
      <fill>
        <patternFill patternType="solid">
          <fgColor indexed="64"/>
          <bgColor theme="2"/>
        </patternFill>
      </fill>
      <alignment horizontal="general" vertical="bottom" textRotation="0" wrapText="1" indent="0" justifyLastLine="0" shrinkToFit="0" readingOrder="0"/>
      <border diagonalUp="0" diagonalDown="0" outline="0">
        <left style="thin">
          <color rgb="FF013248"/>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bottom" textRotation="0" wrapText="0" indent="0" justifyLastLine="0" shrinkToFit="0" readingOrder="0"/>
    </dxf>
    <dxf>
      <font>
        <b/>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outline="0">
        <left/>
        <right style="thin">
          <color rgb="FF013248"/>
        </right>
        <top/>
        <bottom/>
      </border>
    </dxf>
    <dxf>
      <font>
        <strike val="0"/>
        <outline val="0"/>
        <shadow val="0"/>
        <u val="none"/>
        <vertAlign val="baseline"/>
        <sz val="9"/>
        <color auto="1"/>
        <name val="Arial"/>
        <family val="2"/>
        <scheme val="none"/>
      </font>
      <fill>
        <patternFill patternType="none">
          <fgColor indexed="64"/>
          <bgColor auto="1"/>
        </patternFill>
      </fill>
      <border diagonalUp="0" diagonalDown="0">
        <left/>
        <right style="thin">
          <color rgb="FF013248"/>
        </right>
        <vertical/>
      </border>
    </dxf>
    <dxf>
      <font>
        <b/>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center" textRotation="0" wrapText="0" indent="0" justifyLastLine="0" shrinkToFit="0" readingOrder="0"/>
    </dxf>
    <dxf>
      <font>
        <strike val="0"/>
        <outline val="0"/>
        <shadow val="0"/>
        <u val="none"/>
        <vertAlign val="baseline"/>
        <sz val="9"/>
        <color auto="1"/>
        <name val="Arial"/>
        <family val="2"/>
        <scheme val="none"/>
      </font>
      <fill>
        <patternFill patternType="none">
          <fgColor indexed="64"/>
          <bgColor auto="1"/>
        </patternFill>
      </fill>
    </dxf>
    <dxf>
      <font>
        <b/>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outline="0">
        <left style="thin">
          <color rgb="FF013248"/>
        </left>
        <right/>
        <top/>
        <bottom/>
      </border>
    </dxf>
    <dxf>
      <font>
        <strike val="0"/>
        <outline val="0"/>
        <shadow val="0"/>
        <u val="none"/>
        <vertAlign val="baseline"/>
        <sz val="9"/>
        <color auto="1"/>
        <name val="Arial"/>
        <family val="2"/>
        <scheme val="none"/>
      </font>
      <fill>
        <patternFill patternType="none">
          <fgColor indexed="64"/>
          <bgColor auto="1"/>
        </patternFill>
      </fill>
      <border diagonalUp="0" diagonalDown="0">
        <left style="thin">
          <color rgb="FF013248"/>
        </left>
        <right/>
        <top/>
        <bottom/>
        <vertical/>
        <horizontal/>
      </border>
    </dxf>
    <dxf>
      <font>
        <b/>
        <i val="0"/>
        <strike val="0"/>
        <condense val="0"/>
        <extend val="0"/>
        <outline val="0"/>
        <shadow val="0"/>
        <u val="none"/>
        <vertAlign val="baseline"/>
        <sz val="9"/>
        <color rgb="FF013248"/>
        <name val="Arial"/>
        <family val="2"/>
        <scheme val="none"/>
      </font>
      <numFmt numFmtId="2" formatCode="0.00"/>
      <fill>
        <patternFill patternType="none">
          <fgColor indexed="64"/>
          <bgColor auto="1"/>
        </patternFill>
      </fill>
      <alignment horizontal="right" vertical="center" textRotation="0" wrapText="0" indent="0" justifyLastLine="0" shrinkToFit="0" readingOrder="0"/>
      <border diagonalUp="0" diagonalDown="0" outline="0">
        <left/>
        <right style="thin">
          <color rgb="FF013248"/>
        </right>
      </border>
    </dxf>
    <dxf>
      <font>
        <strike val="0"/>
        <outline val="0"/>
        <shadow val="0"/>
        <u val="none"/>
        <vertAlign val="baseline"/>
        <sz val="9"/>
        <color rgb="FF36256E"/>
        <name val="Arial"/>
        <family val="2"/>
        <scheme val="none"/>
      </font>
      <numFmt numFmtId="2" formatCode="0.00"/>
      <fill>
        <patternFill patternType="none">
          <fgColor indexed="64"/>
          <bgColor auto="1"/>
        </patternFill>
      </fill>
      <border diagonalUp="0" diagonalDown="0">
        <left/>
        <right style="thin">
          <color rgb="FF013248"/>
        </right>
        <top/>
        <bottom/>
        <vertical/>
        <horizontal/>
      </border>
    </dxf>
    <dxf>
      <font>
        <b/>
        <i val="0"/>
        <strike val="0"/>
        <condense val="0"/>
        <extend val="0"/>
        <outline val="0"/>
        <shadow val="0"/>
        <u val="none"/>
        <vertAlign val="baseline"/>
        <sz val="9"/>
        <color rgb="FF013248"/>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strike val="0"/>
        <outline val="0"/>
        <shadow val="0"/>
        <u val="none"/>
        <vertAlign val="baseline"/>
        <sz val="9"/>
        <color rgb="FF36256E"/>
        <name val="Arial"/>
        <family val="2"/>
        <scheme val="none"/>
      </font>
      <numFmt numFmtId="2" formatCode="0.00"/>
      <fill>
        <patternFill patternType="none">
          <fgColor indexed="64"/>
          <bgColor auto="1"/>
        </patternFill>
      </fill>
    </dxf>
    <dxf>
      <font>
        <b/>
        <i val="0"/>
        <strike val="0"/>
        <condense val="0"/>
        <extend val="0"/>
        <outline val="0"/>
        <shadow val="0"/>
        <u val="none"/>
        <vertAlign val="baseline"/>
        <sz val="9"/>
        <color rgb="FF013248"/>
        <name val="Arial"/>
        <family val="2"/>
        <scheme val="none"/>
      </font>
      <numFmt numFmtId="2" formatCode="0.00"/>
      <fill>
        <patternFill patternType="solid">
          <fgColor indexed="64"/>
          <bgColor theme="0"/>
        </patternFill>
      </fill>
      <alignment horizontal="right" vertical="center" textRotation="0" wrapText="0" indent="0" justifyLastLine="0" shrinkToFit="0" readingOrder="0"/>
      <border diagonalUp="0" diagonalDown="0" outline="0">
        <left style="thin">
          <color rgb="FF013248"/>
        </left>
        <right/>
        <top/>
        <bottom/>
      </border>
    </dxf>
    <dxf>
      <font>
        <strike val="0"/>
        <outline val="0"/>
        <shadow val="0"/>
        <u val="none"/>
        <vertAlign val="baseline"/>
        <sz val="9"/>
        <color rgb="FF36256E"/>
        <name val="Arial"/>
        <family val="2"/>
        <scheme val="none"/>
      </font>
      <numFmt numFmtId="2" formatCode="0.00"/>
      <fill>
        <patternFill patternType="none">
          <fgColor indexed="64"/>
          <bgColor auto="1"/>
        </patternFill>
      </fill>
      <border diagonalUp="0" diagonalDown="0">
        <left style="thin">
          <color rgb="FF013248"/>
        </left>
        <right/>
        <top/>
        <bottom/>
        <vertical/>
        <horizontal/>
      </border>
    </dxf>
    <dxf>
      <font>
        <b/>
        <i val="0"/>
        <strike val="0"/>
        <condense val="0"/>
        <extend val="0"/>
        <outline val="0"/>
        <shadow val="0"/>
        <u val="none"/>
        <vertAlign val="baseline"/>
        <sz val="9"/>
        <color rgb="FF013248"/>
        <name val="Arial"/>
        <family val="2"/>
        <scheme val="none"/>
      </font>
      <fill>
        <patternFill patternType="solid">
          <fgColor indexed="64"/>
          <bgColor theme="0"/>
        </patternFill>
      </fill>
      <alignment horizontal="left" vertical="center" textRotation="0" wrapText="0" indent="2" justifyLastLine="0" shrinkToFit="0" readingOrder="0"/>
    </dxf>
    <dxf>
      <font>
        <b val="0"/>
        <i val="0"/>
        <strike val="0"/>
        <condense val="0"/>
        <extend val="0"/>
        <outline val="0"/>
        <shadow val="0"/>
        <u val="none"/>
        <vertAlign val="baseline"/>
        <sz val="9"/>
        <color rgb="FF36256E"/>
        <name val="Arial"/>
        <family val="2"/>
        <scheme val="none"/>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rgb="FF36256E"/>
        <name val="Arial"/>
        <family val="2"/>
        <scheme val="none"/>
      </font>
      <fill>
        <patternFill patternType="solid">
          <fgColor indexed="64"/>
          <bgColor theme="0"/>
        </patternFill>
      </fill>
    </dxf>
    <dxf>
      <border diagonalUp="0" diagonalDown="0">
        <top style="thin">
          <color rgb="FF013248"/>
        </top>
        <bottom style="thin">
          <color rgb="FF013248"/>
        </bottom>
      </border>
    </dxf>
    <dxf>
      <font>
        <strike val="0"/>
        <outline val="0"/>
        <shadow val="0"/>
        <u val="none"/>
        <vertAlign val="baseline"/>
        <sz val="9"/>
        <color rgb="FF36256E"/>
        <name val="Arial"/>
        <family val="2"/>
        <scheme val="none"/>
      </font>
      <fill>
        <patternFill patternType="none">
          <fgColor indexed="64"/>
          <bgColor auto="1"/>
        </patternFill>
      </fill>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border diagonalUp="0" diagonalDown="0" outline="0">
        <left style="thin">
          <color rgb="FF36256E"/>
        </left>
        <right style="thin">
          <color rgb="FF36256E"/>
        </right>
        <top/>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left/>
        <right style="thin">
          <color theme="7"/>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left style="thin">
          <color theme="7"/>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alignment horizontal="left" vertical="center" textRotation="0" wrapText="0" indent="2" justifyLastLine="0" shrinkToFit="0" readingOrder="0"/>
    </dxf>
    <dxf>
      <font>
        <strike val="0"/>
        <outline val="0"/>
        <shadow val="0"/>
        <u val="none"/>
        <vertAlign val="baseline"/>
        <sz val="9"/>
        <color rgb="FF36256E"/>
        <name val="Arial"/>
        <family val="2"/>
        <scheme val="none"/>
      </font>
    </dxf>
    <dxf>
      <font>
        <strike val="0"/>
        <outline val="0"/>
        <shadow val="0"/>
        <u val="none"/>
        <vertAlign val="baseline"/>
        <sz val="9"/>
        <color rgb="FF36256E"/>
        <name val="Arial"/>
        <family val="2"/>
        <scheme val="none"/>
      </font>
      <fill>
        <patternFill patternType="none">
          <fgColor indexed="64"/>
          <bgColor auto="1"/>
        </patternFill>
      </fill>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border diagonalUp="0" diagonalDown="0" outline="0">
        <left style="thin">
          <color rgb="FF36256E"/>
        </left>
        <right style="thin">
          <color rgb="FF36256E"/>
        </right>
        <top/>
        <bottom/>
      </border>
    </dxf>
    <dxf>
      <font>
        <b/>
        <i val="0"/>
        <strike val="0"/>
        <condense val="0"/>
        <extend val="0"/>
        <outline val="0"/>
        <shadow val="0"/>
        <u val="none"/>
        <vertAlign val="baseline"/>
        <sz val="9"/>
        <color rgb="FF013248"/>
        <name val="Arial"/>
        <family val="2"/>
        <scheme val="none"/>
      </font>
      <numFmt numFmtId="2" formatCode="0.00"/>
      <border diagonalUp="0" diagonalDown="0" outline="0">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border diagonalUp="0" diagonalDown="0" outline="0">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border diagonalUp="0" diagonalDown="0" outline="0">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left/>
        <right style="thin">
          <color theme="7"/>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top style="thin">
          <color rgb="FF013248"/>
        </top>
        <bottom style="thin">
          <color rgb="FF013248"/>
        </bottom>
      </border>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left style="thin">
          <color theme="7"/>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alignment horizontal="left" vertical="center" textRotation="0" wrapText="0" indent="2" justifyLastLine="0" shrinkToFit="0" readingOrder="0"/>
    </dxf>
    <dxf>
      <font>
        <strike val="0"/>
        <outline val="0"/>
        <shadow val="0"/>
        <u val="none"/>
        <vertAlign val="baseline"/>
        <sz val="9"/>
        <color rgb="FF36256E"/>
        <name val="Arial"/>
        <family val="2"/>
        <scheme val="none"/>
      </font>
    </dxf>
    <dxf>
      <border diagonalUp="0" diagonalDown="0">
        <top style="thin">
          <color rgb="FF013248"/>
        </top>
        <bottom style="thin">
          <color rgb="FF013248"/>
        </bottom>
      </border>
    </dxf>
    <dxf>
      <font>
        <strike val="0"/>
        <outline val="0"/>
        <shadow val="0"/>
        <u val="none"/>
        <vertAlign val="baseline"/>
        <sz val="9"/>
        <color rgb="FF36256E"/>
        <name val="Arial"/>
        <family val="2"/>
        <scheme val="none"/>
      </font>
      <fill>
        <patternFill patternType="none">
          <fgColor indexed="64"/>
          <bgColor auto="1"/>
        </patternFill>
      </fill>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border diagonalUp="0" diagonalDown="0" outline="0">
        <left style="thin">
          <color rgb="FF36256E"/>
        </left>
        <right style="thin">
          <color rgb="FF36256E"/>
        </right>
        <top/>
        <bottom/>
      </border>
    </dxf>
    <dxf>
      <font>
        <b/>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theme="7"/>
        </right>
        <top/>
        <bottom/>
      </border>
    </dxf>
    <dxf>
      <font>
        <strike val="0"/>
        <outline val="0"/>
        <shadow val="0"/>
        <u val="none"/>
        <vertAlign val="baseline"/>
        <sz val="9"/>
        <color auto="1"/>
        <name val="Arial"/>
        <family val="2"/>
        <scheme val="none"/>
      </font>
      <fill>
        <patternFill patternType="none">
          <fgColor indexed="64"/>
          <bgColor auto="1"/>
        </patternFill>
      </fill>
    </dxf>
    <dxf>
      <font>
        <b/>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auto="1"/>
        <name val="Arial"/>
        <family val="2"/>
        <scheme val="none"/>
      </font>
      <fill>
        <patternFill patternType="none">
          <fgColor indexed="64"/>
          <bgColor auto="1"/>
        </patternFill>
      </fill>
    </dxf>
    <dxf>
      <font>
        <b/>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theme="7"/>
        </left>
        <right/>
        <top/>
        <bottom/>
      </border>
    </dxf>
    <dxf>
      <font>
        <strike val="0"/>
        <outline val="0"/>
        <shadow val="0"/>
        <u val="none"/>
        <vertAlign val="baseline"/>
        <sz val="9"/>
        <color auto="1"/>
        <name val="Arial"/>
        <family val="2"/>
        <scheme val="none"/>
      </font>
      <fill>
        <patternFill patternType="none">
          <fgColor indexed="64"/>
          <bgColor auto="1"/>
        </patternFill>
      </fill>
      <border diagonalUp="0" diagonalDown="0">
        <left style="thin">
          <color theme="7"/>
        </left>
        <right/>
        <top/>
        <bottom/>
        <horizontal/>
      </border>
    </dxf>
    <dxf>
      <font>
        <b/>
        <i val="0"/>
        <strike val="0"/>
        <condense val="0"/>
        <extend val="0"/>
        <outline val="0"/>
        <shadow val="0"/>
        <u val="none"/>
        <vertAlign val="baseline"/>
        <sz val="9"/>
        <color rgb="FF013248"/>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auto="1"/>
        <name val="Arial"/>
        <family val="2"/>
        <scheme val="none"/>
      </font>
      <numFmt numFmtId="2" formatCode="0.00"/>
      <fill>
        <patternFill patternType="none">
          <fgColor indexed="64"/>
          <bgColor auto="1"/>
        </patternFill>
      </fill>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dxf>
    <dxf>
      <font>
        <strike val="0"/>
        <outline val="0"/>
        <shadow val="0"/>
        <u val="none"/>
        <vertAlign val="baseline"/>
        <sz val="9"/>
        <color auto="1"/>
        <name val="Arial"/>
        <family val="2"/>
        <scheme val="none"/>
      </font>
      <numFmt numFmtId="2" formatCode="0.00"/>
      <fill>
        <patternFill patternType="none">
          <fgColor indexed="64"/>
          <bgColor auto="1"/>
        </patternFill>
      </fill>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0" indent="0" justifyLastLine="0" shrinkToFit="0" readingOrder="0"/>
      <border diagonalUp="0" diagonalDown="0" outline="0">
        <left style="thin">
          <color theme="7"/>
        </left>
        <right/>
        <top/>
        <bottom/>
      </border>
    </dxf>
    <dxf>
      <font>
        <strike val="0"/>
        <outline val="0"/>
        <shadow val="0"/>
        <u val="none"/>
        <vertAlign val="baseline"/>
        <sz val="9"/>
        <color auto="1"/>
        <name val="Arial"/>
        <family val="2"/>
        <scheme val="none"/>
      </font>
      <numFmt numFmtId="2" formatCode="0.00"/>
      <fill>
        <patternFill patternType="none">
          <fgColor indexed="64"/>
          <bgColor auto="1"/>
        </patternFill>
      </fill>
      <border diagonalUp="0" diagonalDown="0">
        <left style="thin">
          <color theme="7"/>
        </left>
        <top/>
        <bottom/>
        <horizontal/>
      </border>
    </dxf>
    <dxf>
      <font>
        <b/>
        <i val="0"/>
        <strike val="0"/>
        <condense val="0"/>
        <extend val="0"/>
        <outline val="0"/>
        <shadow val="0"/>
        <u val="none"/>
        <vertAlign val="baseline"/>
        <sz val="9"/>
        <color rgb="FF013248"/>
        <name val="Arial"/>
        <family val="2"/>
        <scheme val="none"/>
      </font>
      <alignment horizontal="left" vertical="center" textRotation="0" wrapText="0" indent="2"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rgb="FF36256E"/>
        <name val="Arial"/>
        <family val="2"/>
        <scheme val="none"/>
      </font>
    </dxf>
    <dxf>
      <border diagonalUp="0" diagonalDown="0">
        <top style="thin">
          <color rgb="FF013248"/>
        </top>
        <bottom style="thin">
          <color rgb="FF013248"/>
        </bottom>
      </border>
    </dxf>
    <dxf>
      <font>
        <strike val="0"/>
        <outline val="0"/>
        <shadow val="0"/>
        <u val="none"/>
        <vertAlign val="baseline"/>
        <sz val="9"/>
        <color rgb="FF36256E"/>
        <name val="Arial"/>
        <family val="2"/>
        <scheme val="none"/>
      </font>
      <fill>
        <patternFill patternType="none">
          <fgColor indexed="64"/>
          <bgColor auto="1"/>
        </patternFill>
      </fill>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border diagonalUp="0" diagonalDown="0" outline="0">
        <left style="thin">
          <color rgb="FF36256E"/>
        </left>
        <right style="thin">
          <color rgb="FF36256E"/>
        </right>
        <top/>
        <bottom/>
      </border>
    </dxf>
    <dxf>
      <font>
        <strike val="0"/>
        <outline val="0"/>
        <shadow val="0"/>
        <u val="none"/>
        <vertAlign val="baseline"/>
        <sz val="9"/>
        <color auto="1"/>
        <name val="Arial"/>
        <family val="2"/>
        <scheme val="none"/>
      </font>
      <numFmt numFmtId="2" formatCode="0.00"/>
      <border diagonalUp="0" diagonalDown="0">
        <left/>
        <right style="thin">
          <color rgb="FF013248"/>
        </right>
        <top/>
        <bottom/>
        <vertical/>
        <horizontal/>
      </border>
    </dxf>
    <dxf>
      <font>
        <strike val="0"/>
        <outline val="0"/>
        <shadow val="0"/>
        <u val="none"/>
        <vertAlign val="baseline"/>
        <sz val="9"/>
        <color auto="1"/>
        <name val="Arial"/>
        <family val="2"/>
        <scheme val="none"/>
      </font>
      <numFmt numFmtId="2" formatCode="0.00"/>
    </dxf>
    <dxf>
      <font>
        <strike val="0"/>
        <outline val="0"/>
        <shadow val="0"/>
        <u val="none"/>
        <vertAlign val="baseline"/>
        <sz val="9"/>
        <color auto="1"/>
        <name val="Arial"/>
        <family val="2"/>
        <scheme val="none"/>
      </font>
      <numFmt numFmtId="2" formatCode="0.00"/>
      <border diagonalUp="0" diagonalDown="0">
        <left style="thin">
          <color rgb="FF013248"/>
        </left>
        <right/>
        <top/>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border diagonalUp="0" diagonalDown="0" outline="0">
        <left style="thin">
          <color rgb="FF36256E"/>
        </left>
        <right style="thin">
          <color rgb="FF36256E"/>
        </right>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border diagonalUp="0" diagonalDown="0" outline="0">
        <left style="thin">
          <color rgb="FF36256E"/>
        </left>
        <right style="thin">
          <color rgb="FF36256E"/>
        </right>
        <top/>
        <bottom/>
      </border>
    </dxf>
    <dxf>
      <font>
        <strike val="0"/>
        <outline val="0"/>
        <shadow val="0"/>
        <u val="none"/>
        <vertAlign val="baseline"/>
        <sz val="9"/>
        <color auto="1"/>
        <name val="Arial"/>
        <family val="2"/>
        <scheme val="none"/>
      </font>
      <numFmt numFmtId="2" formatCode="0.00"/>
      <border diagonalUp="0" diagonalDown="0">
        <top style="thin">
          <color rgb="FF013248"/>
        </top>
        <bottom style="thin">
          <color rgb="FF013248"/>
        </bottom>
        <horizontal style="thin">
          <color rgb="FF013248"/>
        </horizontal>
      </border>
    </dxf>
    <dxf>
      <font>
        <strike val="0"/>
        <outline val="0"/>
        <shadow val="0"/>
        <u val="none"/>
        <vertAlign val="baseline"/>
        <sz val="9"/>
        <color auto="1"/>
        <name val="Arial"/>
        <family val="2"/>
        <scheme val="none"/>
      </font>
      <numFmt numFmtId="2" formatCode="0.00"/>
      <border diagonalUp="0" diagonalDown="0">
        <top style="thin">
          <color rgb="FF013248"/>
        </top>
        <bottom style="thin">
          <color rgb="FF013248"/>
        </bottom>
        <horizontal style="thin">
          <color rgb="FF013248"/>
        </horizontal>
      </border>
    </dxf>
    <dxf>
      <font>
        <strike val="0"/>
        <outline val="0"/>
        <shadow val="0"/>
        <u val="none"/>
        <vertAlign val="baseline"/>
        <sz val="9"/>
        <color auto="1"/>
        <name val="Arial"/>
        <family val="2"/>
        <scheme val="none"/>
      </font>
      <numFmt numFmtId="2" formatCode="0.00"/>
      <border diagonalUp="0" diagonalDown="0">
        <left style="thin">
          <color rgb="FF013248"/>
        </left>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border diagonalUp="0" diagonalDown="0" outline="0">
        <left style="thin">
          <color rgb="FF36256E"/>
        </left>
        <right style="thin">
          <color rgb="FF36256E"/>
        </right>
        <top/>
        <bottom/>
      </border>
    </dxf>
    <dxf>
      <font>
        <strike val="0"/>
        <outline val="0"/>
        <shadow val="0"/>
        <u val="none"/>
        <vertAlign val="baseline"/>
        <sz val="9"/>
        <color auto="1"/>
        <name val="Arial"/>
        <family val="2"/>
        <scheme val="none"/>
      </font>
      <numFmt numFmtId="2" formatCode="0.00"/>
      <border diagonalUp="0" diagonalDown="0">
        <left/>
        <right style="thin">
          <color theme="7"/>
        </right>
        <top style="thin">
          <color rgb="FF013248"/>
        </top>
        <bottom style="thin">
          <color rgb="FF013248"/>
        </bottom>
        <horizontal style="thin">
          <color rgb="FF013248"/>
        </horizontal>
      </border>
    </dxf>
    <dxf>
      <font>
        <strike val="0"/>
        <outline val="0"/>
        <shadow val="0"/>
        <u val="none"/>
        <vertAlign val="baseline"/>
        <sz val="9"/>
        <color auto="1"/>
        <name val="Arial"/>
        <family val="2"/>
        <scheme val="none"/>
      </font>
      <numFmt numFmtId="2" formatCode="0.00"/>
      <border diagonalUp="0" diagonalDown="0">
        <top style="thin">
          <color rgb="FF013248"/>
        </top>
        <bottom style="thin">
          <color rgb="FF013248"/>
        </bottom>
        <horizontal style="thin">
          <color rgb="FF013248"/>
        </horizontal>
      </border>
    </dxf>
    <dxf>
      <font>
        <strike val="0"/>
        <outline val="0"/>
        <shadow val="0"/>
        <u val="none"/>
        <vertAlign val="baseline"/>
        <sz val="9"/>
        <color auto="1"/>
        <name val="Arial"/>
        <family val="2"/>
        <scheme val="none"/>
      </font>
      <numFmt numFmtId="2" formatCode="0.00"/>
      <border diagonalUp="0" diagonalDown="0">
        <left style="thin">
          <color rgb="FF013248"/>
        </left>
        <right/>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2" justifyLastLine="0" shrinkToFit="0" readingOrder="0"/>
      <border diagonalUp="0" diagonalDown="0">
        <top style="thin">
          <color rgb="FF013248"/>
        </top>
        <bottom style="thin">
          <color rgb="FF013248"/>
        </bottom>
        <horizontal style="thin">
          <color rgb="FF013248"/>
        </horizontal>
      </border>
    </dxf>
    <dxf>
      <font>
        <strike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border diagonalUp="0" diagonalDown="0" outline="0">
        <left style="thin">
          <color rgb="FF36256E"/>
        </left>
        <right style="thin">
          <color rgb="FF36256E"/>
        </right>
        <top/>
        <bottom/>
      </border>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auto="1"/>
        <name val="Arial"/>
        <family val="2"/>
        <scheme val="none"/>
      </font>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9"/>
        <color auto="1"/>
        <name val="Arial"/>
        <family val="2"/>
        <scheme val="none"/>
      </font>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9"/>
        <color auto="1"/>
        <name val="Arial"/>
        <family val="2"/>
        <scheme val="none"/>
      </font>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9"/>
        <color auto="1"/>
        <name val="Arial"/>
        <family val="2"/>
        <scheme val="none"/>
      </font>
      <border diagonalUp="0" diagonalDown="0">
        <left/>
        <right/>
        <top style="thin">
          <color auto="1"/>
        </top>
        <bottom style="thin">
          <color auto="1"/>
        </bottom>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family val="2"/>
        <scheme val="none"/>
      </font>
    </dxf>
    <dxf>
      <border>
        <bottom style="thin">
          <color auto="1"/>
        </bottom>
      </border>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dxf>
    <dxf>
      <border diagonalUp="0" diagonalDown="0">
        <top style="thin">
          <color rgb="FF013248"/>
        </top>
        <bottom style="thin">
          <color rgb="FF013248"/>
        </bottom>
      </border>
    </dxf>
    <dxf>
      <font>
        <b val="0"/>
        <i val="0"/>
        <strike val="0"/>
        <condense val="0"/>
        <extend val="0"/>
        <outline val="0"/>
        <shadow val="0"/>
        <u val="none"/>
        <vertAlign val="baseline"/>
        <sz val="9"/>
        <color auto="1"/>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auto="1"/>
        <name val="Arial"/>
        <family val="2"/>
        <scheme val="none"/>
      </font>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border diagonalUp="0" diagonalDown="0">
        <top style="thin">
          <color rgb="FF013248"/>
        </top>
        <bottom style="thin">
          <color rgb="FF013248"/>
        </bottom>
        <horizontal style="thin">
          <color rgb="FF013248"/>
        </horizontal>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70" formatCode="mmm\-yy"/>
      <fill>
        <patternFill patternType="none">
          <fgColor indexed="64"/>
          <bgColor theme="0"/>
        </patternFill>
      </fill>
      <alignment horizontal="left"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strike val="0"/>
        <outline val="0"/>
        <shadow val="0"/>
        <u val="none"/>
        <vertAlign val="baseline"/>
        <color rgb="FF013248"/>
        <name val="Arial"/>
        <family val="2"/>
        <scheme val="none"/>
      </font>
      <fill>
        <patternFill>
          <fgColor indexed="64"/>
          <bgColor theme="0"/>
        </patternFill>
      </fill>
      <alignment horizontal="right" vertical="center" textRotation="0" wrapText="1" indent="0" justifyLastLine="0" shrinkToFit="0" readingOrder="0"/>
      <border diagonalUp="0" diagonalDown="0" outline="0">
        <top style="thin">
          <color rgb="FF013248"/>
        </top>
        <bottom style="thin">
          <color rgb="FF013248"/>
        </bottom>
      </border>
    </dxf>
    <dxf>
      <font>
        <strike val="0"/>
        <outline val="0"/>
        <shadow val="0"/>
        <u val="none"/>
        <vertAlign val="baseline"/>
        <color rgb="FF013248"/>
        <name val="Arial"/>
        <family val="2"/>
        <scheme val="none"/>
      </font>
      <fill>
        <patternFill>
          <fgColor indexed="64"/>
          <bgColor theme="0"/>
        </patternFill>
      </fill>
      <alignment horizontal="right"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border diagonalUp="0" diagonalDown="0" outline="0">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theme="0"/>
        </patternFill>
      </fill>
      <alignment horizontal="general" vertical="center"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69" formatCode="_-[$$-409]* #,##0.00_ ;_-[$$-409]* \-#,##0.00\ ;_-[$$-409]* &quot;-&quot;??_ ;_-@_ "/>
      <alignment horizontal="center" vertical="top" textRotation="0" wrapText="1" indent="0" justifyLastLine="0" shrinkToFit="0" readingOrder="0"/>
      <border diagonalUp="0" diagonalDown="0" outline="0">
        <lef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69" formatCode="_-[$$-409]* #,##0.00_ ;_-[$$-409]* \-#,##0.00\ ;_-[$$-409]* &quot;-&quot;??_ ;_-@_ "/>
      <alignment horizontal="center" vertical="top" textRotation="0" wrapText="1" indent="0" justifyLastLine="0" shrinkToFit="0" readingOrder="0"/>
      <border diagonalUp="0" diagonalDown="0" outline="0">
        <right/>
        <top style="thin">
          <color rgb="FF013248"/>
        </top>
        <bottom style="thin">
          <color rgb="FF013248"/>
        </bottom>
      </border>
    </dxf>
    <dxf>
      <font>
        <b/>
        <i val="0"/>
        <strike val="0"/>
        <condense val="0"/>
        <extend val="0"/>
        <outline val="0"/>
        <shadow val="0"/>
        <u val="none"/>
        <vertAlign val="baseline"/>
        <sz val="9"/>
        <color theme="0"/>
        <name val="Arial"/>
        <family val="2"/>
        <scheme val="none"/>
      </font>
      <fill>
        <patternFill patternType="solid">
          <fgColor theme="7"/>
          <bgColor rgb="FF013248"/>
        </patternFill>
      </fill>
      <alignment horizontal="left"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border>
        <bottom style="thin">
          <color rgb="FF013248"/>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9"/>
        <color rgb="FF013248"/>
        <name val="Arial"/>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strike val="0"/>
        <outline val="0"/>
        <shadow val="0"/>
        <u val="none"/>
        <vertAlign val="baseline"/>
        <sz val="9"/>
        <name val="Arial"/>
        <family val="2"/>
        <scheme val="none"/>
      </font>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font>
        <strike val="0"/>
        <outline val="0"/>
        <shadow val="0"/>
        <u val="none"/>
        <vertAlign val="baseline"/>
        <sz val="9"/>
        <name val="Arial"/>
        <family val="2"/>
        <scheme val="none"/>
      </font>
      <fill>
        <patternFill>
          <bgColor rgb="FF013248"/>
        </patternFill>
      </fill>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10"/>
        <color theme="1"/>
        <name val="Arial"/>
        <family val="2"/>
        <scheme val="none"/>
      </font>
      <numFmt numFmtId="13" formatCode="0%"/>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strike val="0"/>
        <outline val="0"/>
        <shadow val="0"/>
        <u val="none"/>
        <vertAlign val="baseline"/>
        <sz val="9"/>
        <name val="Arial"/>
        <family val="2"/>
        <scheme val="none"/>
      </font>
      <numFmt numFmtId="0" formatCode="General"/>
    </dxf>
    <dxf>
      <font>
        <strike val="0"/>
        <outline val="0"/>
        <shadow val="0"/>
        <u val="none"/>
        <vertAlign val="baseline"/>
        <sz val="9"/>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rgb="FFC00000"/>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bottom"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alignment horizontal="left" vertical="top" textRotation="0" wrapText="1" indent="2"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border>
        <bottom style="thin">
          <color rgb="FF013248"/>
        </bottom>
      </border>
    </dxf>
    <dxf>
      <font>
        <strike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9"/>
        <color rgb="FF013248"/>
        <name val="Arial"/>
        <family val="2"/>
        <scheme val="none"/>
      </font>
      <alignment horizontal="right" vertical="bottom"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9"/>
        <color rgb="FF013248"/>
        <name val="Arial"/>
        <family val="2"/>
        <scheme val="none"/>
      </font>
      <alignment horizontal="right" vertical="bottom"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0"/>
        </patternFill>
      </fill>
      <alignment horizontal="general" vertical="top" textRotation="0" wrapText="0" indent="0" justifyLastLine="0" shrinkToFit="0" readingOrder="0"/>
    </dxf>
    <dxf>
      <font>
        <strike val="0"/>
        <outline val="0"/>
        <shadow val="0"/>
        <u val="none"/>
        <vertAlign val="baseline"/>
        <sz val="9"/>
        <color rgb="FF013248"/>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font>
        <strike val="0"/>
        <outline val="0"/>
        <shadow val="0"/>
        <u val="none"/>
        <vertAlign val="baseline"/>
        <sz val="9"/>
        <color theme="1"/>
        <name val="Calibri"/>
        <family val="2"/>
        <scheme val="minor"/>
      </font>
      <fill>
        <patternFill patternType="solid">
          <fgColor indexed="64"/>
          <bgColor theme="0"/>
        </patternFill>
      </fill>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theme="1"/>
        <name val="Calibri"/>
        <family val="2"/>
        <scheme val="minor"/>
      </font>
    </dxf>
    <dxf>
      <border>
        <bottom style="thin">
          <color rgb="FF013248"/>
        </bottom>
      </border>
    </dxf>
    <dxf>
      <font>
        <strike val="0"/>
        <outline val="0"/>
        <shadow val="0"/>
        <u val="none"/>
        <vertAlign val="baseline"/>
        <sz val="9"/>
        <color theme="1"/>
        <name val="Calibri"/>
        <family val="2"/>
        <scheme val="minor"/>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numFmt numFmtId="13" formatCode="0%"/>
      <alignment horizontal="right" vertical="bottom" textRotation="0" wrapText="1" indent="0" justifyLastLine="0" shrinkToFit="0" readingOrder="0"/>
    </dxf>
    <dxf>
      <font>
        <strike val="0"/>
        <outline val="0"/>
        <shadow val="0"/>
        <u val="none"/>
        <vertAlign val="baseline"/>
        <sz val="9"/>
        <color rgb="FF013248"/>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strike val="0"/>
        <outline val="0"/>
        <shadow val="0"/>
        <u val="none"/>
        <vertAlign val="baseline"/>
        <sz val="9"/>
        <color theme="1"/>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right"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auto="1"/>
        </top>
        <bottom style="thin">
          <color auto="1"/>
        </bottom>
      </border>
    </dxf>
    <dxf>
      <border>
        <top style="thin">
          <color auto="1"/>
        </top>
      </border>
    </dxf>
    <dxf>
      <font>
        <strike val="0"/>
        <outline val="0"/>
        <shadow val="0"/>
        <u val="none"/>
        <vertAlign val="baseline"/>
        <sz val="9"/>
        <color theme="1"/>
        <name val="Arial"/>
        <family val="2"/>
        <scheme val="none"/>
      </font>
    </dxf>
    <dxf>
      <border diagonalUp="0" diagonalDown="0">
        <left style="thin">
          <color auto="1"/>
        </left>
        <right style="thin">
          <color auto="1"/>
        </right>
        <top style="thin">
          <color auto="1"/>
        </top>
        <bottom style="thin">
          <color auto="1"/>
        </bottom>
      </border>
    </dxf>
    <dxf>
      <font>
        <strike val="0"/>
        <outline val="0"/>
        <shadow val="0"/>
        <u val="none"/>
        <vertAlign val="baseline"/>
        <sz val="9"/>
        <color theme="1"/>
        <name val="Arial"/>
        <family val="2"/>
        <scheme val="none"/>
      </font>
    </dxf>
    <dxf>
      <border>
        <bottom style="thin">
          <color auto="1"/>
        </bottom>
      </border>
    </dxf>
    <dxf>
      <font>
        <strike val="0"/>
        <outline val="0"/>
        <shadow val="0"/>
        <u val="none"/>
        <vertAlign val="baseline"/>
        <sz val="9"/>
        <color theme="1"/>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64" formatCode="0.0"/>
      <alignment horizontal="right" vertical="top" textRotation="0" wrapText="0" indent="0" justifyLastLine="0" shrinkToFit="0" readingOrder="0"/>
    </dxf>
    <dxf>
      <font>
        <strike val="0"/>
        <outline val="0"/>
        <shadow val="0"/>
        <u val="none"/>
        <vertAlign val="baseline"/>
        <sz val="9"/>
        <color rgb="FF013248"/>
        <name val="Arial"/>
        <family val="2"/>
        <scheme val="none"/>
      </font>
      <numFmt numFmtId="164" formatCode="0.0"/>
      <alignment horizontal="right"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strike val="0"/>
        <outline val="0"/>
        <shadow val="0"/>
        <u val="none"/>
        <vertAlign val="baseline"/>
        <sz val="9"/>
        <color rgb="FF013248"/>
        <name val="Arial"/>
        <family val="2"/>
        <scheme val="none"/>
      </font>
      <fill>
        <patternFill patternType="solid">
          <fgColor indexed="64"/>
          <bgColor theme="6"/>
        </patternFill>
      </fill>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strike val="0"/>
        <outline val="0"/>
        <shadow val="0"/>
        <u val="none"/>
        <vertAlign val="baseline"/>
        <sz val="9"/>
        <color rgb="FF013248"/>
        <name val="Arial"/>
        <family val="2"/>
        <scheme val="none"/>
      </font>
      <fill>
        <patternFill patternType="solid">
          <fgColor indexed="64"/>
          <bgColor theme="6"/>
        </patternFill>
      </fill>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fill>
        <patternFill patternType="none">
          <fgColor indexed="64"/>
          <bgColor auto="1"/>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font>
        <strike val="0"/>
        <outline val="0"/>
        <shadow val="0"/>
        <u val="none"/>
        <vertAlign val="baseline"/>
        <sz val="9"/>
        <name val="Arial"/>
        <family val="2"/>
        <scheme val="none"/>
      </font>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fill>
        <patternFill patternType="none">
          <fgColor indexed="64"/>
          <bgColor auto="1"/>
        </patternFill>
      </fill>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3" formatCode="0%"/>
      <alignment horizontal="general" vertical="top" textRotation="0" wrapText="0" indent="0" justifyLastLine="0" shrinkToFit="0" readingOrder="0"/>
    </dxf>
    <dxf>
      <font>
        <strike val="0"/>
        <outline val="0"/>
        <shadow val="0"/>
        <u val="none"/>
        <vertAlign val="baseline"/>
        <sz val="9"/>
        <color rgb="FF013248"/>
        <name val="Arial"/>
        <family val="2"/>
        <scheme val="none"/>
      </font>
      <numFmt numFmtId="1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strike val="0"/>
        <outline val="0"/>
        <shadow val="0"/>
        <u val="none"/>
        <vertAlign val="baseline"/>
        <sz val="9"/>
        <color rgb="FF013248"/>
        <name val="Arial"/>
        <family val="2"/>
        <scheme val="none"/>
      </font>
      <numFmt numFmtId="165"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strike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dxf>
    <dxf>
      <font>
        <strike val="0"/>
        <outline val="0"/>
        <shadow val="0"/>
        <u val="none"/>
        <vertAlign val="baseline"/>
        <sz val="9"/>
        <color rgb="FF013248"/>
        <name val="Arial"/>
        <family val="2"/>
        <scheme val="none"/>
      </font>
      <alignment horizontal="general" vertical="top" textRotation="0" wrapText="0" indent="0" justifyLastLine="0" shrinkToFit="0" readingOrder="0"/>
    </dxf>
    <dxf>
      <font>
        <strike val="0"/>
        <outline val="0"/>
        <shadow val="0"/>
        <u val="none"/>
        <vertAlign val="baseline"/>
        <sz val="9"/>
        <name val="Arial"/>
        <family val="2"/>
        <scheme val="none"/>
      </font>
    </dxf>
    <dxf>
      <border diagonalUp="0" diagonalDown="0">
        <top style="thin">
          <color rgb="FF013248"/>
        </top>
        <bottom style="thin">
          <color rgb="FF013248"/>
        </bottom>
      </border>
    </dxf>
    <dxf>
      <font>
        <strike val="0"/>
        <outline val="0"/>
        <shadow val="0"/>
        <u val="none"/>
        <vertAlign val="baseline"/>
        <sz val="9"/>
        <color theme="1"/>
        <name val="Arial"/>
        <family val="2"/>
        <scheme val="none"/>
      </font>
      <alignment horizontal="general" vertical="top" textRotation="0" wrapText="0" indent="0" justifyLastLine="0" shrinkToFit="0" readingOrder="0"/>
    </dxf>
    <dxf>
      <font>
        <strike val="0"/>
        <outline val="0"/>
        <shadow val="0"/>
        <u val="none"/>
        <vertAlign val="baseline"/>
        <sz val="9"/>
        <color theme="1"/>
        <name val="Arial"/>
        <family val="2"/>
        <scheme val="none"/>
      </font>
      <fill>
        <patternFill patternType="solid">
          <fgColor indexed="64"/>
          <bgColor rgb="FF013248"/>
        </patternFill>
      </fill>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diagonalUp="0" diagonalDown="0">
        <top style="thin">
          <color rgb="FF013248"/>
        </top>
        <bottom style="thin">
          <color rgb="FF013248"/>
        </bottom>
      </border>
    </dxf>
    <dxf>
      <font>
        <strike val="0"/>
        <outline val="0"/>
        <shadow val="0"/>
        <u val="none"/>
        <vertAlign val="baseline"/>
        <sz val="9"/>
        <color rgb="FF013248"/>
        <name val="Arial"/>
        <family val="2"/>
        <scheme val="none"/>
      </font>
    </dxf>
    <dxf>
      <font>
        <strike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auto="1"/>
        <name val="Calibri"/>
        <family val="2"/>
        <scheme val="minor"/>
      </font>
      <fill>
        <patternFill patternType="solid">
          <fgColor indexed="64"/>
          <bgColor theme="9"/>
        </patternFill>
      </fill>
      <alignment horizontal="center" vertical="center" textRotation="0" wrapText="1" indent="0" justifyLastLine="0" shrinkToFit="0" readingOrder="0"/>
      <border diagonalUp="0" diagonalDown="0" outline="0">
        <left/>
        <right style="thin">
          <color theme="7"/>
        </right>
        <top style="thin">
          <color theme="7"/>
        </top>
        <bottom/>
      </border>
    </dxf>
    <dxf>
      <font>
        <b val="0"/>
        <i val="0"/>
        <strike val="0"/>
        <condense val="0"/>
        <extend val="0"/>
        <outline val="0"/>
        <shadow val="0"/>
        <u val="none"/>
        <vertAlign val="baseline"/>
        <sz val="9"/>
        <color auto="1"/>
        <name val="Arial"/>
        <family val="2"/>
        <scheme val="none"/>
      </font>
      <numFmt numFmtId="0" formatCode="General"/>
      <alignment horizontal="righ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Calibri"/>
        <family val="2"/>
        <scheme val="minor"/>
      </font>
      <fill>
        <patternFill patternType="solid">
          <fgColor indexed="64"/>
          <bgColor theme="9"/>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9"/>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Calibri"/>
        <family val="2"/>
        <scheme val="minor"/>
      </font>
      <fill>
        <patternFill patternType="solid">
          <fgColor indexed="64"/>
          <bgColor theme="9"/>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9"/>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Calibri"/>
        <family val="2"/>
        <scheme val="minor"/>
      </font>
      <fill>
        <patternFill patternType="solid">
          <fgColor indexed="64"/>
          <bgColor theme="9"/>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top style="thin">
          <color rgb="FF013248"/>
        </top>
        <bottom style="thin">
          <color rgb="FF013248"/>
        </bottom>
        <horizontal style="thin">
          <color rgb="FF013248"/>
        </horizontal>
      </border>
    </dxf>
    <dxf>
      <border diagonalUp="0" diagonalDown="0" outline="0">
        <left/>
        <right/>
        <top/>
        <bottom/>
      </border>
    </dxf>
    <dxf>
      <font>
        <b val="0"/>
        <i val="0"/>
        <strike val="0"/>
        <condense val="0"/>
        <extend val="0"/>
        <outline val="0"/>
        <shadow val="0"/>
        <u val="none"/>
        <vertAlign val="baseline"/>
        <sz val="9"/>
        <color auto="1"/>
        <name val="Arial"/>
        <family val="2"/>
        <scheme val="none"/>
      </font>
      <alignment horizontal="general"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strike val="0"/>
        <outline val="0"/>
        <shadow val="0"/>
        <u val="none"/>
        <vertAlign val="baseline"/>
        <sz val="9"/>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alignment horizontal="center" vertical="center"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0"/>
        <name val="Arial"/>
        <family val="2"/>
        <scheme val="none"/>
      </font>
      <fill>
        <patternFill>
          <bgColor rgb="FF013248"/>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1" formatCode="0"/>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diagonalUp="0" diagonalDown="0">
        <top style="thin">
          <color rgb="FF013248"/>
        </top>
        <bottom style="thin">
          <color rgb="FF013248"/>
        </bottom>
      </border>
    </dxf>
    <dxf>
      <font>
        <strike val="0"/>
        <outline val="0"/>
        <shadow val="0"/>
        <u val="none"/>
        <vertAlign val="baseline"/>
        <sz val="9"/>
        <color rgb="FF013248"/>
        <name val="Arial"/>
        <family val="2"/>
        <scheme val="none"/>
      </font>
    </dxf>
    <dxf>
      <font>
        <strike val="0"/>
        <outline val="0"/>
        <shadow val="0"/>
        <u val="none"/>
        <vertAlign val="baseline"/>
        <sz val="9"/>
        <name val="Arial"/>
        <family val="2"/>
        <scheme val="none"/>
      </font>
      <fill>
        <patternFill patternType="solid">
          <fgColor indexed="64"/>
          <bgColor rgb="FF013248"/>
        </patternFill>
      </fill>
    </dxf>
    <dxf>
      <font>
        <b/>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border diagonalUp="0" diagonalDown="0">
        <top style="thin">
          <color rgb="FF013248"/>
        </top>
        <bottom style="thin">
          <color rgb="FF013248"/>
        </bottom>
        <horizontal style="thin">
          <color rgb="FF013248"/>
        </horizontal>
      </border>
    </dxf>
    <dxf>
      <font>
        <b/>
        <i val="0"/>
        <strike val="0"/>
        <condense val="0"/>
        <extend val="0"/>
        <outline val="0"/>
        <shadow val="0"/>
        <u val="none"/>
        <vertAlign val="baseline"/>
        <sz val="9"/>
        <color rgb="FFC00000"/>
        <name val="Arial"/>
        <family val="2"/>
        <scheme val="none"/>
      </font>
      <alignment horizontal="right" vertical="bottom" textRotation="0" wrapText="1" indent="0" justifyLastLine="0" shrinkToFit="0" readingOrder="0"/>
      <border diagonalUp="0" diagonalDown="0">
        <top style="thin">
          <color rgb="FF013248"/>
        </top>
        <bottom style="thin">
          <color rgb="FF013248"/>
        </bottom>
        <horizontal style="thin">
          <color rgb="FF013248"/>
        </horizontal>
      </border>
    </dxf>
    <dxf>
      <font>
        <b/>
        <i val="0"/>
        <strike val="0"/>
        <condense val="0"/>
        <extend val="0"/>
        <outline val="0"/>
        <shadow val="0"/>
        <u val="none"/>
        <vertAlign val="baseline"/>
        <sz val="10"/>
        <color theme="1"/>
        <name val="Arial"/>
        <family val="2"/>
        <scheme val="none"/>
      </font>
      <alignment horizontal="right" vertical="top"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border diagonalUp="0" diagonalDown="0">
        <top style="thin">
          <color rgb="FF013248"/>
        </top>
        <bottom style="thin">
          <color rgb="FF013248"/>
        </bottom>
        <horizontal style="thin">
          <color rgb="FF013248"/>
        </horizontal>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border>
        <bottom style="thin">
          <color rgb="FF013248"/>
        </bottom>
      </border>
    </dxf>
    <dxf>
      <font>
        <strike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0" formatCode="Genera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top style="thin">
          <color auto="1"/>
        </top>
        <bottom style="thin">
          <color auto="1"/>
        </bottom>
      </border>
    </dxf>
    <dxf>
      <font>
        <strike val="0"/>
        <outline val="0"/>
        <shadow val="0"/>
        <u val="none"/>
        <vertAlign val="baseline"/>
        <sz val="9"/>
        <name val="Arial"/>
        <family val="2"/>
        <scheme val="none"/>
      </font>
    </dxf>
    <dxf>
      <font>
        <strike val="0"/>
        <outline val="0"/>
        <shadow val="0"/>
        <u val="none"/>
        <vertAlign val="baseline"/>
        <sz val="9"/>
        <name val="Arial"/>
        <family val="2"/>
        <scheme val="none"/>
      </font>
      <fill>
        <patternFill patternType="solid">
          <fgColor indexed="64"/>
          <bgColor rgb="FF013248"/>
        </patternFill>
      </fill>
      <alignmen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0" formatCode="Genera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9"/>
        <color auto="1"/>
        <name val="Arial"/>
        <family val="2"/>
        <scheme val="none"/>
      </font>
      <fill>
        <patternFill>
          <fgColor indexed="64"/>
          <bgColor rgb="FFFF000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top style="thin">
          <color auto="1"/>
        </top>
        <bottom style="thin">
          <color auto="1"/>
        </bottom>
      </border>
    </dxf>
    <dxf>
      <font>
        <strike val="0"/>
        <outline val="0"/>
        <shadow val="0"/>
        <u val="none"/>
        <vertAlign val="baseline"/>
        <sz val="9"/>
        <name val="Arial"/>
        <family val="2"/>
        <scheme val="none"/>
      </font>
    </dxf>
    <dxf>
      <font>
        <strike val="0"/>
        <outline val="0"/>
        <shadow val="0"/>
        <u val="none"/>
        <vertAlign val="baseline"/>
        <sz val="9"/>
        <name val="Arial"/>
        <family val="2"/>
        <scheme val="none"/>
      </font>
      <fill>
        <patternFill patternType="solid">
          <fgColor indexed="64"/>
          <bgColor rgb="FF013248"/>
        </patternFill>
      </fill>
      <alignmen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13248"/>
        <name val="Arial"/>
        <family val="2"/>
        <scheme val="none"/>
      </font>
      <numFmt numFmtId="0" formatCode="General"/>
      <fill>
        <patternFill patternType="solid">
          <fgColor indexed="64"/>
          <bgColor theme="2" tint="-9.9978637043366805E-2"/>
        </patternFill>
      </fill>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0" formatCode="General"/>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diagonalUp="0" diagonalDown="0">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0" formatCode="General"/>
      <fill>
        <patternFill patternType="solid">
          <fgColor indexed="64"/>
          <bgColor theme="2" tint="-9.9978637043366805E-2"/>
        </patternFill>
      </fill>
      <alignment horizontal="right" vertical="top" textRotation="0" wrapText="1" indent="0" justifyLastLine="0" shrinkToFit="0" readingOrder="0"/>
      <border diagonalUp="0" diagonalDown="0" outline="0">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border diagonalUp="0" diagonalDown="0" outline="0">
        <right/>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right" vertical="top" textRotation="0" wrapText="1" indent="0" justifyLastLine="0" shrinkToFit="0" readingOrder="0"/>
      <border diagonalUp="0" diagonalDown="0" outline="0">
        <top style="thin">
          <color auto="1"/>
        </top>
        <bottom style="thin">
          <color auto="1"/>
        </bottom>
      </border>
    </dxf>
    <dxf>
      <font>
        <b val="0"/>
        <i val="0"/>
        <strike val="0"/>
        <condense val="0"/>
        <extend val="0"/>
        <outline val="0"/>
        <shadow val="0"/>
        <u val="none"/>
        <vertAlign val="baseline"/>
        <sz val="9"/>
        <color rgb="FF013248"/>
        <name val="Arial"/>
        <family val="2"/>
        <scheme val="none"/>
      </font>
      <numFmt numFmtId="0" formatCode="General"/>
      <alignment horizontal="right" vertical="top" textRotation="0" wrapText="1" indent="0" justifyLastLine="0" shrinkToFit="0" readingOrder="0"/>
      <border diagonalUp="0" diagonalDown="0" outline="0">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border diagonalUp="0" diagonalDown="0" outline="0">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bottom style="thin">
          <color auto="1"/>
        </bottom>
      </border>
    </dxf>
    <dxf>
      <font>
        <b val="0"/>
        <i val="0"/>
        <strike val="0"/>
        <condense val="0"/>
        <extend val="0"/>
        <outline val="0"/>
        <shadow val="0"/>
        <u val="none"/>
        <vertAlign val="baseline"/>
        <sz val="9"/>
        <color theme="1"/>
        <name val="Arial"/>
        <family val="2"/>
        <scheme val="none"/>
      </font>
      <fill>
        <patternFill>
          <fgColor indexed="64"/>
          <bgColor rgb="FF013248"/>
        </patternFill>
      </fill>
      <alignment horizontal="left" vertical="top" textRotation="0" wrapText="1" indent="0" justifyLastLine="0" shrinkToFit="0" readingOrder="0"/>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b val="0"/>
        <i val="0"/>
        <strike val="0"/>
        <condense val="0"/>
        <extend val="0"/>
        <outline val="0"/>
        <shadow val="0"/>
        <u val="none"/>
        <vertAlign val="baseline"/>
        <sz val="9"/>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font>
        <strike val="0"/>
        <outline val="0"/>
        <shadow val="0"/>
        <u val="none"/>
        <vertAlign val="baseline"/>
        <sz val="9"/>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center"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center"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center"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center"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center"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theme="6"/>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Arial"/>
        <family val="2"/>
        <scheme val="none"/>
      </font>
      <fill>
        <patternFill patternType="solid">
          <fgColor indexed="64"/>
          <bgColor theme="7"/>
        </patternFill>
      </fill>
      <alignment horizontal="general"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numFmt numFmtId="3" formatCode="#,##0"/>
      <alignment horizontal="right" vertical="center" textRotation="0" wrapText="0" indent="0" justifyLastLine="0" shrinkToFit="0" readingOrder="0"/>
      <border diagonalUp="0" diagonalDown="0" outline="0">
        <left/>
        <right style="thin">
          <color rgb="FF013248"/>
        </right>
        <top/>
        <bottom/>
      </border>
    </dxf>
    <dxf>
      <font>
        <strike val="0"/>
        <outline val="0"/>
        <shadow val="0"/>
        <u val="none"/>
        <vertAlign val="baseline"/>
        <sz val="9"/>
        <color rgb="FF013248"/>
        <name val="Arial"/>
        <family val="2"/>
        <scheme val="none"/>
      </font>
      <border diagonalUp="0" diagonalDown="0" outline="0">
        <left/>
        <right style="thin">
          <color rgb="FF013248"/>
        </right>
        <top/>
        <bottom/>
      </border>
    </dxf>
    <dxf>
      <font>
        <b/>
        <i val="0"/>
        <strike val="0"/>
        <condense val="0"/>
        <extend val="0"/>
        <outline val="0"/>
        <shadow val="0"/>
        <u val="none"/>
        <vertAlign val="baseline"/>
        <sz val="9"/>
        <color rgb="FF013248"/>
        <name val="Arial"/>
        <family val="2"/>
        <scheme val="none"/>
      </font>
      <numFmt numFmtId="3" formatCode="#,##0"/>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numFmt numFmtId="3" formatCode="#,##0"/>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numFmt numFmtId="3" formatCode="#,##0"/>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general"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alignment horizontal="general" vertical="center" textRotation="0" wrapText="1" indent="0" justifyLastLine="0" shrinkToFit="0" readingOrder="0"/>
      <border diagonalUp="0" diagonalDown="0" outline="0">
        <left style="thin">
          <color rgb="FF013248"/>
        </left>
        <right/>
        <top/>
        <bottom/>
      </border>
    </dxf>
    <dxf>
      <font>
        <strike val="0"/>
        <outline val="0"/>
        <shadow val="0"/>
        <u val="none"/>
        <vertAlign val="baseline"/>
        <sz val="9"/>
        <color rgb="FF013248"/>
        <name val="Arial"/>
        <family val="2"/>
        <scheme val="none"/>
      </font>
      <border diagonalUp="0" diagonalDown="0" outline="0">
        <left style="thin">
          <color rgb="FF013248"/>
        </left>
        <right/>
        <top/>
        <bottom/>
      </border>
    </dxf>
    <dxf>
      <border>
        <top style="thin">
          <color theme="7"/>
        </top>
      </border>
    </dxf>
    <dxf>
      <font>
        <strike val="0"/>
        <outline val="0"/>
        <shadow val="0"/>
        <u val="none"/>
        <vertAlign val="baseline"/>
        <sz val="9"/>
        <color auto="1"/>
        <name val="Arial"/>
        <family val="2"/>
        <scheme val="none"/>
      </font>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dxf>
    <dxf>
      <font>
        <b/>
        <i val="0"/>
        <strike val="0"/>
        <condense val="0"/>
        <extend val="0"/>
        <outline val="0"/>
        <shadow val="0"/>
        <u val="none"/>
        <vertAlign val="baseline"/>
        <sz val="9"/>
        <color rgb="FF013248"/>
        <name val="Arial"/>
        <family val="2"/>
        <scheme val="none"/>
      </font>
      <numFmt numFmtId="2" formatCode="0.00"/>
      <fill>
        <patternFill patternType="solid">
          <fgColor indexed="64"/>
          <bgColor rgb="FFC00000"/>
        </patternFill>
      </fill>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auto="1"/>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numFmt numFmtId="165" formatCode="_-* #,##0_-;\-* #,##0_-;_-* &quot;-&quot;??_-;_-@_-"/>
      <fill>
        <patternFill patternType="solid">
          <fgColor indexed="64"/>
          <bgColor theme="2" tint="-9.9978637043366805E-2"/>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general" vertical="bottom" textRotation="0" wrapText="1" indent="0" justifyLastLine="0" shrinkToFit="0" readingOrder="0"/>
      <border diagonalUp="0" diagonalDown="0" outline="0">
        <left style="thin">
          <color theme="6"/>
        </left>
        <right style="thin">
          <color theme="6"/>
        </right>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theme="6"/>
        </patternFill>
      </fill>
      <alignment horizontal="lef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solid">
          <fgColor indexed="64"/>
          <bgColor theme="6"/>
        </patternFill>
      </fill>
      <alignment horizontal="left" vertical="center" textRotation="0" wrapText="0"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top style="thin">
          <color rgb="FF013248"/>
        </top>
        <bottom style="thin">
          <color rgb="FF013248"/>
        </bottom>
        <horizontal style="thin">
          <color rgb="FF013248"/>
        </horizontal>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top style="thin">
          <color rgb="FF013248"/>
        </top>
        <bottom style="thin">
          <color rgb="FF013248"/>
        </bottom>
        <horizontal style="thin">
          <color rgb="FF013248"/>
        </horizontal>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auto="1"/>
        <name val="Arial"/>
        <family val="2"/>
        <scheme val="none"/>
      </font>
      <fill>
        <patternFill patternType="none">
          <fgColor indexed="64"/>
          <bgColor auto="1"/>
        </patternFill>
      </fill>
      <alignment horizontal="left" textRotation="0" indent="0" justifyLastLine="0" shrinkToFit="0" readingOrder="0"/>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0" indent="0" justifyLastLine="0" shrinkToFit="0" readingOrder="0"/>
      <border diagonalUp="0" diagonalDown="0" outline="0">
        <left style="medium">
          <color rgb="FF1B587C"/>
        </left>
        <right style="medium">
          <color rgb="FF1B587C"/>
        </right>
        <top/>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center" textRotation="0" wrapText="1" indent="0" justifyLastLine="0" shrinkToFit="0" readingOrder="0"/>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dxf>
    <dxf>
      <font>
        <strike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1"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textRotation="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textRotation="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textRotation="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textRotation="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textRotation="0" justifyLastLine="0" shrinkToFit="0" readingOrder="0"/>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165" formatCode="_-* #,##0_-;\-* #,##0_-;_-* &quot;-&quot;??_-;_-@_-"/>
      <alignment horizontal="general" vertical="top" textRotation="0" wrapText="0" indent="0" justifyLastLine="0" shrinkToFit="0" readingOrder="0"/>
    </dxf>
    <dxf>
      <font>
        <strike val="0"/>
        <outline val="0"/>
        <shadow val="0"/>
        <u val="none"/>
        <vertAlign val="baseline"/>
        <sz val="9"/>
        <color rgb="FF013248"/>
        <name val="Arial"/>
        <family val="2"/>
        <scheme val="none"/>
      </font>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font>
        <strike val="0"/>
        <outline val="0"/>
        <shadow val="0"/>
        <u val="none"/>
        <vertAlign val="baseline"/>
        <sz val="9"/>
        <color theme="0"/>
        <name val="Arial"/>
        <family val="2"/>
        <scheme val="none"/>
      </font>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9"/>
        <color rgb="FF000000"/>
        <name val="Arial"/>
        <family val="2"/>
        <scheme val="none"/>
      </font>
      <alignment horizontal="general" vertical="top" textRotation="0" wrapText="0"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name val="Arial"/>
        <family val="2"/>
        <scheme val="none"/>
      </font>
    </dxf>
    <dxf>
      <font>
        <b val="0"/>
        <i val="0"/>
        <strike val="0"/>
        <condense val="0"/>
        <extend val="0"/>
        <outline val="0"/>
        <shadow val="0"/>
        <u val="none"/>
        <vertAlign val="baseline"/>
        <sz val="9"/>
        <color theme="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5" formatCode="_-* #,##0_-;\-* #,##0_-;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5" formatCode="_-* #,##0_-;\-* #,##0_-;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rgb="FF000000"/>
        <name val="Arial"/>
        <family val="2"/>
        <scheme val="none"/>
      </font>
      <numFmt numFmtId="165" formatCode="_-* #,##0_-;\-* #,##0_-;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rgb="FF000000"/>
        <name val="Arial"/>
        <family val="2"/>
        <scheme val="none"/>
      </font>
      <alignment horizontal="left" vertical="top" textRotation="0" wrapText="0"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border>
        <bottom style="thin">
          <color rgb="FF013248"/>
        </bottom>
      </border>
    </dxf>
    <dxf>
      <font>
        <b val="0"/>
        <i val="0"/>
        <strike val="0"/>
        <condense val="0"/>
        <extend val="0"/>
        <outline val="0"/>
        <shadow val="0"/>
        <u val="none"/>
        <vertAlign val="baseline"/>
        <sz val="9"/>
        <color theme="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numFmt numFmtId="171" formatCode="d\-mmm"/>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13248"/>
        <name val="Arial"/>
        <family val="2"/>
        <scheme val="none"/>
      </font>
      <numFmt numFmtId="13" formatCode="0%"/>
      <alignment horizontal="left"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13248"/>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right/>
        <top/>
        <bottom/>
      </border>
    </dxf>
    <dxf>
      <border diagonalUp="0" diagonalDown="0">
        <left/>
        <right/>
        <top style="thin">
          <color rgb="FF013248"/>
        </top>
        <bottom style="thin">
          <color rgb="FF013248"/>
        </bottom>
      </border>
    </dxf>
    <dxf>
      <font>
        <strike val="0"/>
        <outline val="0"/>
        <shadow val="0"/>
        <u val="none"/>
        <vertAlign val="baseline"/>
        <color rgb="FF013248"/>
        <name val="Arial"/>
        <family val="2"/>
        <scheme val="none"/>
      </font>
    </dxf>
    <dxf>
      <font>
        <strike val="0"/>
        <outline val="0"/>
        <shadow val="0"/>
        <u val="none"/>
        <vertAlign val="baseline"/>
        <color rgb="FF013248"/>
        <name val="Arial"/>
        <family val="2"/>
        <scheme val="none"/>
      </font>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0" indent="0" justifyLastLine="0" shrinkToFit="0" readingOrder="0"/>
    </dxf>
    <dxf>
      <font>
        <strike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1"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1" justifyLastLine="0" shrinkToFit="0" readingOrder="0"/>
    </dxf>
    <dxf>
      <font>
        <b val="0"/>
        <i val="0"/>
        <strike val="0"/>
        <condense val="0"/>
        <extend val="0"/>
        <outline val="0"/>
        <shadow val="0"/>
        <u val="none"/>
        <vertAlign val="baseline"/>
        <sz val="9"/>
        <color theme="0"/>
        <name val="Arial"/>
        <family val="2"/>
        <scheme val="none"/>
      </font>
      <fill>
        <patternFill patternType="solid">
          <fgColor indexed="64"/>
          <bgColor theme="7"/>
        </patternFill>
      </fill>
      <alignment horizontal="right" vertical="center"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font>
        <b/>
        <i val="0"/>
        <strike val="0"/>
        <condense val="0"/>
        <extend val="0"/>
        <outline val="0"/>
        <shadow val="0"/>
        <u val="none"/>
        <vertAlign val="baseline"/>
        <sz val="9"/>
        <color rgb="FF013248"/>
        <name val="Arial"/>
        <family val="2"/>
        <scheme val="none"/>
      </font>
      <fill>
        <patternFill patternType="solid">
          <fgColor indexed="64"/>
          <bgColor rgb="FF013248"/>
        </patternFill>
      </fill>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top style="thin">
          <color rgb="FF013248"/>
        </top>
        <bottom style="thin">
          <color rgb="FF013248"/>
        </bottom>
        <vertical/>
        <horizontal style="thin">
          <color rgb="FF013248"/>
        </horizontal>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numFmt numFmtId="35" formatCode="_-* #,##0.00_-;\-* #,##0.00_-;_-* &quot;-&quot;??_-;_-@_-"/>
    </dxf>
    <dxf>
      <font>
        <strike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35" formatCode="_-* #,##0.00_-;\-* #,##0.00_-;_-* &quot;-&quot;??_-;_-@_-"/>
    </dxf>
    <dxf>
      <font>
        <strike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strike val="0"/>
        <outline val="0"/>
        <shadow val="0"/>
        <u val="none"/>
        <vertAlign val="baseline"/>
        <sz val="9"/>
        <color rgb="FF013248"/>
        <name val="Arial"/>
        <family val="2"/>
        <scheme val="none"/>
      </font>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color rgb="FF013248"/>
        <name val="Arial"/>
        <family val="2"/>
        <scheme val="none"/>
      </font>
    </dxf>
    <dxf>
      <font>
        <b/>
        <i val="0"/>
        <strike val="0"/>
        <condense val="0"/>
        <extend val="0"/>
        <outline val="0"/>
        <shadow val="0"/>
        <u val="none"/>
        <vertAlign val="baseline"/>
        <sz val="9"/>
        <color rgb="FFFFFFFF"/>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2" formatCode="0.00"/>
    </dxf>
    <dxf>
      <font>
        <strike val="0"/>
        <outline val="0"/>
        <shadow val="0"/>
        <u val="none"/>
        <vertAlign val="baseline"/>
        <color rgb="FF013248"/>
        <name val="Arial"/>
        <family val="2"/>
        <scheme val="none"/>
      </font>
    </dxf>
    <dxf>
      <font>
        <b val="0"/>
        <i val="0"/>
        <strike val="0"/>
        <condense val="0"/>
        <extend val="0"/>
        <outline val="0"/>
        <shadow val="0"/>
        <u val="none"/>
        <vertAlign val="baseline"/>
        <sz val="9"/>
        <color rgb="FF013248"/>
        <name val="Arial"/>
        <family val="2"/>
        <scheme val="none"/>
      </font>
      <numFmt numFmtId="2" formatCode="0.00"/>
    </dxf>
    <dxf>
      <font>
        <strike val="0"/>
        <outline val="0"/>
        <shadow val="0"/>
        <u val="none"/>
        <vertAlign val="baseline"/>
        <color rgb="FF013248"/>
        <name val="Arial"/>
        <family val="2"/>
        <scheme val="none"/>
      </font>
    </dxf>
    <dxf>
      <font>
        <b val="0"/>
        <i val="0"/>
        <strike val="0"/>
        <condense val="0"/>
        <extend val="0"/>
        <outline val="0"/>
        <shadow val="0"/>
        <u val="none"/>
        <vertAlign val="baseline"/>
        <sz val="9"/>
        <color rgb="FF013248"/>
        <name val="Arial"/>
        <family val="2"/>
        <scheme val="none"/>
      </font>
      <numFmt numFmtId="35" formatCode="_-* #,##0.00_-;\-* #,##0.00_-;_-* &quot;-&quot;??_-;_-@_-"/>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2" formatCode="0.00"/>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strike val="0"/>
        <outline val="0"/>
        <shadow val="0"/>
        <u val="none"/>
        <vertAlign val="baseline"/>
        <sz val="9"/>
        <color rgb="FF013248"/>
        <name val="Arial"/>
        <family val="2"/>
        <scheme val="none"/>
      </font>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color rgb="FF013248"/>
        <name val="Arial"/>
        <family val="2"/>
        <scheme val="none"/>
      </font>
    </dxf>
    <dxf>
      <font>
        <b/>
        <i val="0"/>
        <strike val="0"/>
        <condense val="0"/>
        <extend val="0"/>
        <outline val="0"/>
        <shadow val="0"/>
        <u val="none"/>
        <vertAlign val="baseline"/>
        <sz val="9"/>
        <color theme="0"/>
        <name val="Arial"/>
        <family val="2"/>
        <scheme val="none"/>
      </font>
      <fill>
        <patternFill patternType="solid">
          <fgColor theme="7"/>
          <bgColor rgb="FF013248"/>
        </patternFill>
      </fill>
      <alignment horizontal="lef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dxf>
    <dxf>
      <font>
        <strike val="0"/>
        <outline val="0"/>
        <shadow val="0"/>
        <u val="none"/>
        <vertAlign val="baseline"/>
        <color rgb="FF013248"/>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FFFFFF"/>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numFmt numFmtId="35" formatCode="_-* #,##0.00_-;\-* #,##0.00_-;_-* &quot;-&quot;??_-;_-@_-"/>
      <border diagonalUp="0" diagonalDown="0">
        <left/>
        <right style="thin">
          <color rgb="FF013248"/>
        </right>
        <top/>
        <bottom/>
        <vertical/>
        <horizontal/>
      </border>
    </dxf>
    <dxf>
      <font>
        <b val="0"/>
        <i val="0"/>
        <strike val="0"/>
        <condense val="0"/>
        <extend val="0"/>
        <outline val="0"/>
        <shadow val="0"/>
        <u val="none"/>
        <vertAlign val="baseline"/>
        <sz val="9"/>
        <color rgb="FF013248"/>
        <name val="Arial"/>
        <family val="2"/>
        <scheme val="none"/>
      </font>
      <border diagonalUp="0" diagonalDown="0">
        <left/>
        <right style="thin">
          <color rgb="FF013248"/>
        </right>
        <top/>
        <bottom/>
        <vertical/>
        <horizontal/>
      </border>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border diagonalUp="0" diagonalDown="0">
        <left style="thin">
          <color rgb="FF013248"/>
        </left>
        <right/>
        <top/>
        <bottom/>
        <vertical/>
        <horizontal/>
      </border>
    </dxf>
    <dxf>
      <font>
        <b val="0"/>
        <i val="0"/>
        <strike val="0"/>
        <condense val="0"/>
        <extend val="0"/>
        <outline val="0"/>
        <shadow val="0"/>
        <u val="none"/>
        <vertAlign val="baseline"/>
        <sz val="9"/>
        <color rgb="FF013248"/>
        <name val="Arial"/>
        <family val="2"/>
        <scheme val="none"/>
      </font>
      <border diagonalUp="0" diagonalDown="0">
        <left style="thin">
          <color rgb="FF013248"/>
        </left>
        <right/>
        <top/>
        <bottom/>
        <vertical/>
        <horizontal/>
      </border>
    </dxf>
    <dxf>
      <font>
        <strike val="0"/>
        <outline val="0"/>
        <shadow val="0"/>
        <u val="none"/>
        <vertAlign val="baseline"/>
        <color rgb="FF013248"/>
        <name val="Arial"/>
        <family val="2"/>
        <scheme val="none"/>
      </font>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numFmt numFmtId="35" formatCode="_-* #,##0.00_-;\-* #,##0.00_-;_-* &quot;-&quot;??_-;_-@_-"/>
    </dxf>
    <dxf>
      <font>
        <b val="0"/>
        <i val="0"/>
        <strike val="0"/>
        <condense val="0"/>
        <extend val="0"/>
        <outline val="0"/>
        <shadow val="0"/>
        <u val="none"/>
        <vertAlign val="baseline"/>
        <sz val="9"/>
        <color rgb="FF013248"/>
        <name val="Arial"/>
        <family val="2"/>
        <scheme val="none"/>
      </font>
      <numFmt numFmtId="35" formatCode="_-* #,##0.00_-;\-* #,##0.00_-;_-* &quot;-&quot;??_-;_-@_-"/>
      <border diagonalUp="0" diagonalDown="0">
        <left/>
        <right/>
        <top style="thin">
          <color rgb="FF013248"/>
        </top>
        <bottom style="thin">
          <color rgb="FF013248"/>
        </bottom>
        <vertical/>
        <horizontal style="thin">
          <color rgb="FF013248"/>
        </horizontal>
      </border>
    </dxf>
    <dxf>
      <font>
        <b val="0"/>
        <i val="0"/>
        <strike val="0"/>
        <condense val="0"/>
        <extend val="0"/>
        <outline val="0"/>
        <shadow val="0"/>
        <u val="none"/>
        <vertAlign val="baseline"/>
        <sz val="9"/>
        <color rgb="FF013248"/>
        <name val="Arial"/>
        <family val="2"/>
        <scheme val="none"/>
      </font>
    </dxf>
    <dxf>
      <font>
        <b val="0"/>
        <i val="0"/>
        <strike val="0"/>
        <condense val="0"/>
        <extend val="0"/>
        <outline val="0"/>
        <shadow val="0"/>
        <u val="none"/>
        <vertAlign val="baseline"/>
        <sz val="9"/>
        <color rgb="FF013248"/>
        <name val="Arial"/>
        <family val="2"/>
        <scheme val="none"/>
      </font>
      <border diagonalUp="0" diagonalDown="0">
        <left/>
        <right/>
        <top style="thin">
          <color rgb="FF013248"/>
        </top>
        <bottom style="thin">
          <color rgb="FF013248"/>
        </bottom>
        <vertical/>
        <horizontal style="thin">
          <color rgb="FF013248"/>
        </horizontal>
      </border>
    </dxf>
    <dxf>
      <border>
        <top style="thin">
          <color rgb="FF013248"/>
        </top>
      </border>
    </dxf>
    <dxf>
      <font>
        <strike val="0"/>
        <outline val="0"/>
        <shadow val="0"/>
        <u val="none"/>
        <vertAlign val="baseline"/>
        <color rgb="FF013248"/>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2" formatCode="0.00"/>
      <alignment horizontal="right" vertical="bottom" textRotation="0" wrapText="0" indent="0" justifyLastLine="0" shrinkToFit="0" readingOrder="0"/>
      <border diagonalUp="0" diagonalDown="0" outline="0">
        <left/>
        <right/>
        <top style="thin">
          <color theme="7"/>
        </top>
        <bottom style="double">
          <color theme="7"/>
        </bottom>
      </border>
    </dxf>
    <dxf>
      <font>
        <strike val="0"/>
        <outline val="0"/>
        <shadow val="0"/>
        <u val="none"/>
        <vertAlign val="baseline"/>
        <sz val="9"/>
        <color auto="1"/>
        <name val="Arial"/>
        <family val="2"/>
        <scheme val="none"/>
      </font>
      <numFmt numFmtId="2" formatCode="0.00"/>
      <fill>
        <patternFill patternType="none">
          <fgColor indexed="64"/>
          <bgColor indexed="65"/>
        </patternFill>
      </fill>
      <alignment horizontal="right" textRotation="0" wrapText="0" indent="0" justifyLastLine="0" shrinkToFit="0" readingOrder="0"/>
    </dxf>
    <dxf>
      <font>
        <b/>
        <i val="0"/>
        <strike val="0"/>
        <condense val="0"/>
        <extend val="0"/>
        <outline val="0"/>
        <shadow val="0"/>
        <u val="none"/>
        <vertAlign val="baseline"/>
        <sz val="9"/>
        <color auto="1"/>
        <name val="Calibri"/>
        <family val="2"/>
        <scheme val="minor"/>
      </font>
      <numFmt numFmtId="2" formatCode="0.00"/>
      <alignment horizontal="right" vertical="bottom" textRotation="0" wrapText="0" indent="0" justifyLastLine="0" shrinkToFit="0" readingOrder="0"/>
      <border diagonalUp="0" diagonalDown="0" outline="0">
        <left/>
        <right/>
        <top style="thin">
          <color theme="7"/>
        </top>
        <bottom style="double">
          <color theme="7"/>
        </bottom>
      </border>
    </dxf>
    <dxf>
      <font>
        <strike val="0"/>
        <outline val="0"/>
        <shadow val="0"/>
        <u val="none"/>
        <vertAlign val="baseline"/>
        <sz val="9"/>
        <color auto="1"/>
        <name val="Arial"/>
        <family val="2"/>
        <scheme val="none"/>
      </font>
      <numFmt numFmtId="2" formatCode="0.00"/>
      <fill>
        <patternFill patternType="none">
          <fgColor indexed="64"/>
          <bgColor auto="1"/>
        </patternFill>
      </fill>
      <alignment horizontal="right" textRotation="0" wrapText="0" indent="0" justifyLastLine="0" shrinkToFit="0" readingOrder="0"/>
    </dxf>
    <dxf>
      <font>
        <b/>
        <i val="0"/>
        <strike val="0"/>
        <condense val="0"/>
        <extend val="0"/>
        <outline val="0"/>
        <shadow val="0"/>
        <u val="none"/>
        <vertAlign val="baseline"/>
        <sz val="9"/>
        <color auto="1"/>
        <name val="Calibri"/>
        <family val="2"/>
        <scheme val="minor"/>
      </font>
      <numFmt numFmtId="2" formatCode="0.00"/>
      <alignment horizontal="right" vertical="bottom" textRotation="0" wrapText="0" indent="0" justifyLastLine="0" shrinkToFit="0" readingOrder="0"/>
      <border diagonalUp="0" diagonalDown="0" outline="0">
        <left/>
        <right/>
        <top style="thin">
          <color theme="7"/>
        </top>
        <bottom style="double">
          <color theme="7"/>
        </bottom>
      </border>
    </dxf>
    <dxf>
      <font>
        <strike val="0"/>
        <outline val="0"/>
        <shadow val="0"/>
        <u val="none"/>
        <vertAlign val="baseline"/>
        <sz val="9"/>
        <color auto="1"/>
        <name val="Arial"/>
        <family val="2"/>
        <scheme val="none"/>
      </font>
      <numFmt numFmtId="2" formatCode="0.00"/>
      <fill>
        <patternFill patternType="none">
          <fgColor indexed="64"/>
          <bgColor auto="1"/>
        </patternFill>
      </fill>
      <alignment horizontal="right" textRotation="0" wrapText="0" indent="0" justifyLastLine="0" shrinkToFit="0" readingOrder="0"/>
    </dxf>
    <dxf>
      <font>
        <b/>
        <i val="0"/>
        <strike val="0"/>
        <condense val="0"/>
        <extend val="0"/>
        <outline val="0"/>
        <shadow val="0"/>
        <u val="none"/>
        <vertAlign val="baseline"/>
        <sz val="9"/>
        <color auto="1"/>
        <name val="Calibri"/>
        <family val="2"/>
        <scheme val="minor"/>
      </font>
      <numFmt numFmtId="2" formatCode="0.00"/>
      <alignment horizontal="right" vertical="bottom" textRotation="0" wrapText="0" indent="0" justifyLastLine="0" shrinkToFit="0" readingOrder="0"/>
      <border diagonalUp="0" diagonalDown="0" outline="0">
        <left/>
        <right/>
        <top style="thin">
          <color theme="7"/>
        </top>
        <bottom style="double">
          <color theme="7"/>
        </bottom>
      </border>
    </dxf>
    <dxf>
      <font>
        <strike val="0"/>
        <outline val="0"/>
        <shadow val="0"/>
        <u val="none"/>
        <vertAlign val="baseline"/>
        <sz val="9"/>
        <color auto="1"/>
        <name val="Arial"/>
        <family val="2"/>
        <scheme val="none"/>
      </font>
      <numFmt numFmtId="1" formatCode="0"/>
      <fill>
        <patternFill patternType="none">
          <fgColor indexed="64"/>
          <bgColor indexed="65"/>
        </patternFill>
      </fill>
      <alignment horizontal="right" textRotation="0" wrapText="0" indent="0" justifyLastLine="0" shrinkToFit="0" readingOrder="0"/>
    </dxf>
    <dxf>
      <font>
        <b/>
        <i val="0"/>
        <strike val="0"/>
        <condense val="0"/>
        <extend val="0"/>
        <outline val="0"/>
        <shadow val="0"/>
        <u val="none"/>
        <vertAlign val="baseline"/>
        <sz val="9"/>
        <color auto="1"/>
        <name val="Calibri"/>
        <family val="2"/>
        <scheme val="minor"/>
      </font>
      <alignment horizontal="general" vertical="center" textRotation="0" wrapText="0" indent="0" justifyLastLine="0" shrinkToFit="0" readingOrder="0"/>
      <border diagonalUp="0" diagonalDown="0" outline="0">
        <left/>
        <right/>
        <top style="thin">
          <color theme="7"/>
        </top>
        <bottom style="double">
          <color theme="7"/>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dxf>
    <dxf>
      <border>
        <top style="thin">
          <color theme="7"/>
        </top>
      </border>
    </dxf>
    <dxf>
      <font>
        <strike val="0"/>
        <outline val="0"/>
        <shadow val="0"/>
        <u val="none"/>
        <vertAlign val="baseline"/>
        <sz val="9"/>
        <color rgb="FF36256E"/>
        <name val="Calibri"/>
        <family val="2"/>
        <scheme val="minor"/>
      </font>
    </dxf>
    <dxf>
      <font>
        <strike val="0"/>
        <outline val="0"/>
        <shadow val="0"/>
        <u val="none"/>
        <vertAlign val="baseline"/>
        <sz val="9"/>
        <color rgb="FF36256E"/>
        <name val="Arial"/>
        <family val="2"/>
        <scheme val="none"/>
      </font>
      <fill>
        <patternFill patternType="none">
          <fgColor indexed="64"/>
          <bgColor indexed="65"/>
        </patternFill>
      </fill>
    </dxf>
    <dxf>
      <font>
        <b/>
        <i val="0"/>
        <strike val="0"/>
        <condense val="0"/>
        <extend val="0"/>
        <outline val="0"/>
        <shadow val="0"/>
        <u val="none"/>
        <vertAlign val="baseline"/>
        <sz val="9"/>
        <color rgb="FF36256E"/>
        <name val="Arial"/>
        <family val="2"/>
        <scheme val="none"/>
      </font>
      <fill>
        <patternFill patternType="solid">
          <fgColor indexed="64"/>
          <bgColor rgb="FF013248"/>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bottom" textRotation="0" wrapText="1" indent="0" justifyLastLine="0" shrinkToFit="0" readingOrder="0"/>
    </dxf>
    <dxf>
      <font>
        <b/>
        <i val="0"/>
        <strike val="0"/>
        <condense val="0"/>
        <extend val="0"/>
        <outline val="0"/>
        <shadow val="0"/>
        <u val="none"/>
        <vertAlign val="baseline"/>
        <sz val="9"/>
        <color rgb="FF013248"/>
        <name val="Arial"/>
        <family val="2"/>
        <scheme val="none"/>
      </font>
      <numFmt numFmtId="0" formatCode="General"/>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font>
        <strike val="0"/>
        <outline val="0"/>
        <shadow val="0"/>
        <u val="none"/>
        <vertAlign val="baseline"/>
        <sz val="9"/>
        <color rgb="FF013248"/>
        <name val="Arial"/>
        <family val="2"/>
        <scheme val="none"/>
      </font>
      <fill>
        <patternFill patternType="solid">
          <fgColor indexed="64"/>
          <bgColor rgb="FF013248"/>
        </patternFill>
      </fill>
    </dxf>
    <dxf>
      <font>
        <b/>
        <i val="0"/>
        <strike val="0"/>
        <condense val="0"/>
        <extend val="0"/>
        <outline val="0"/>
        <shadow val="0"/>
        <u val="none"/>
        <vertAlign val="baseline"/>
        <sz val="9"/>
        <color rgb="FF01324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1" indent="0" justifyLastLine="0" shrinkToFit="0" readingOrder="0"/>
    </dxf>
    <dxf>
      <font>
        <b/>
        <i val="0"/>
        <strike val="0"/>
        <condense val="0"/>
        <extend val="0"/>
        <outline val="0"/>
        <shadow val="0"/>
        <u val="none"/>
        <vertAlign val="baseline"/>
        <sz val="9"/>
        <color rgb="FF013248"/>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right" vertical="center" textRotation="0" wrapText="0" indent="0" justifyLastLine="0" shrinkToFit="0" readingOrder="0"/>
    </dxf>
    <dxf>
      <font>
        <b/>
        <i val="0"/>
        <strike val="0"/>
        <condense val="0"/>
        <extend val="0"/>
        <outline val="0"/>
        <shadow val="0"/>
        <u val="none"/>
        <vertAlign val="baseline"/>
        <sz val="9"/>
        <color rgb="FF013248"/>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9"/>
        <color rgb="FF36256E"/>
        <name val="Arial"/>
        <family val="2"/>
        <scheme val="none"/>
      </font>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36256E"/>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center" textRotation="0" wrapText="1" indent="0" justifyLastLine="0" shrinkToFit="0" readingOrder="0"/>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0"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strike val="0"/>
        <outline val="0"/>
        <shadow val="0"/>
        <u val="none"/>
        <vertAlign val="baseline"/>
        <sz val="9"/>
        <color rgb="FF013248"/>
        <name val="Arial"/>
        <family val="2"/>
        <scheme val="none"/>
      </font>
      <fill>
        <patternFill patternType="solid">
          <fgColor indexed="64"/>
          <bgColor theme="0"/>
        </patternFill>
      </fill>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font>
        <strike val="0"/>
        <outline val="0"/>
        <shadow val="0"/>
        <u val="none"/>
        <vertAlign val="baseline"/>
        <sz val="9"/>
        <color theme="0"/>
        <name val="Arial"/>
        <family val="2"/>
        <scheme val="none"/>
      </font>
      <fill>
        <patternFill patternType="solid">
          <fgColor indexed="64"/>
          <bgColor rgb="FF013248"/>
        </patternFill>
      </fill>
    </dxf>
    <dxf>
      <font>
        <strike val="0"/>
        <outline val="0"/>
        <shadow val="0"/>
        <u val="none"/>
        <vertAlign val="baseline"/>
        <sz val="9"/>
        <color rgb="FF013248"/>
        <name val="Arial"/>
        <family val="2"/>
        <scheme val="none"/>
      </font>
      <fill>
        <patternFill patternType="solid">
          <fgColor indexed="64"/>
          <bgColor theme="6"/>
        </patternFill>
      </fill>
      <alignment vertical="top" textRotation="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center"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alignment vertical="top" textRotation="0" indent="0" justifyLastLine="0" shrinkToFit="0" readingOrder="0"/>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0"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theme="1"/>
        <name val="Arial"/>
        <family val="2"/>
        <scheme val="none"/>
      </font>
      <alignment horizontal="left" vertical="top" textRotation="0" wrapText="1" indent="0" justifyLastLine="0" shrinkToFit="0" readingOrder="0"/>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solid">
          <fgColor indexed="64"/>
          <bgColor theme="6"/>
        </patternFill>
      </fill>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i val="0"/>
        <strike val="0"/>
        <condense val="0"/>
        <extend val="0"/>
        <outline val="0"/>
        <shadow val="0"/>
        <u val="none"/>
        <vertAlign val="baseline"/>
        <sz val="9"/>
        <color rgb="FF013248"/>
        <name val="Arial"/>
        <family val="2"/>
        <scheme val="none"/>
      </font>
      <fill>
        <patternFill patternType="solid">
          <fgColor indexed="64"/>
          <bgColor theme="0"/>
        </patternFill>
      </fill>
      <alignment horizontal="righ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1"/>
        <name val="Arial"/>
        <family val="2"/>
        <scheme val="none"/>
      </font>
      <fill>
        <patternFill patternType="solid">
          <fgColor indexed="64"/>
          <bgColor rgb="FF013248"/>
        </patternFill>
      </fill>
      <alignment horizontal="left" vertical="top" textRotation="0" wrapText="1" indent="0" justifyLastLine="0" shrinkToFit="0" readingOrder="0"/>
    </dxf>
    <dxf>
      <font>
        <strike val="0"/>
        <outline val="0"/>
        <shadow val="0"/>
        <u val="none"/>
        <vertAlign val="baseline"/>
        <sz val="9"/>
        <color rgb="FF013248"/>
        <name val="Arial"/>
        <family val="2"/>
        <scheme val="none"/>
      </font>
      <fill>
        <patternFill patternType="none">
          <fgColor indexed="64"/>
          <bgColor auto="1"/>
        </patternFill>
      </fill>
      <alignment horizontal="left" vertical="top" textRotation="0" wrapText="1"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vertical="top" textRotation="0" wrapText="1"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fill>
        <patternFill patternType="none">
          <fgColor indexed="64"/>
          <bgColor auto="1"/>
        </patternFill>
      </fill>
      <alignment horizontal="left" vertical="top" textRotation="0" wrapText="1" justifyLastLine="0" shrinkToFit="0" readingOrder="0"/>
    </dxf>
    <dxf>
      <border>
        <bottom style="thin">
          <color rgb="FF013248"/>
        </bottom>
      </border>
    </dxf>
    <dxf>
      <font>
        <strike val="0"/>
        <outline val="0"/>
        <shadow val="0"/>
        <u val="none"/>
        <vertAlign val="baseline"/>
        <sz val="9"/>
        <color theme="1"/>
        <name val="Arial"/>
        <family val="2"/>
        <scheme val="none"/>
      </font>
      <fill>
        <patternFill patternType="solid">
          <fgColor indexed="64"/>
          <bgColor rgb="FF013248"/>
        </patternFill>
      </fill>
    </dxf>
    <dxf>
      <font>
        <strike val="0"/>
        <outline val="0"/>
        <shadow val="0"/>
        <u val="none"/>
        <vertAlign val="baseline"/>
        <sz val="9"/>
        <color rgb="FF013248"/>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rgb="FF013248"/>
        </top>
        <bottom style="thin">
          <color rgb="FF013248"/>
        </bottom>
      </border>
    </dxf>
    <dxf>
      <font>
        <b val="0"/>
        <strike val="0"/>
        <outline val="0"/>
        <shadow val="0"/>
        <u val="none"/>
        <vertAlign val="baseline"/>
        <sz val="9"/>
        <color rgb="FF013248"/>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u val="none"/>
        <vertAlign val="baseline"/>
        <sz val="9"/>
        <color rgb="FF013248"/>
        <name val="Arial"/>
        <family val="2"/>
        <scheme val="none"/>
      </font>
    </dxf>
    <dxf>
      <border>
        <bottom style="thin">
          <color rgb="FF013248"/>
        </bottom>
      </border>
    </dxf>
    <dxf>
      <font>
        <b/>
        <i val="0"/>
        <strike val="0"/>
        <condense val="0"/>
        <extend val="0"/>
        <outline val="0"/>
        <shadow val="0"/>
        <u val="none"/>
        <vertAlign val="baseline"/>
        <sz val="9"/>
        <color theme="0"/>
        <name val="Arial"/>
        <family val="2"/>
        <scheme val="none"/>
      </font>
      <fill>
        <patternFill patternType="solid">
          <fgColor indexed="64"/>
          <bgColor rgb="FF013248"/>
        </patternFill>
      </fill>
      <alignment horizontal="general" vertical="center" textRotation="0" wrapText="1" indent="0" justifyLastLine="0" shrinkToFit="0" readingOrder="0"/>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font>
        <strike val="0"/>
        <outline val="0"/>
        <shadow val="0"/>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rgb="FF013248"/>
        </top>
        <bottom style="thin">
          <color rgb="FF013248"/>
        </bottom>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strike val="0"/>
        <outline val="0"/>
        <shadow val="0"/>
        <vertAlign val="baseline"/>
        <sz val="9"/>
        <color rgb="FF013248"/>
        <name val="Arial"/>
        <family val="2"/>
        <scheme val="none"/>
      </font>
      <fill>
        <patternFill patternType="none">
          <fgColor indexed="64"/>
          <bgColor auto="1"/>
        </patternFill>
      </fill>
      <alignment horizontal="general" vertical="top" textRotation="0" wrapText="1" indent="0" justifyLastLine="0" shrinkToFit="0" readingOrder="0"/>
    </dxf>
    <dxf>
      <border>
        <bottom style="thin">
          <color rgb="FF013248"/>
        </bottom>
      </border>
    </dxf>
    <dxf>
      <font>
        <strike val="0"/>
        <outline val="0"/>
        <shadow val="0"/>
        <u val="none"/>
        <vertAlign val="baseline"/>
        <sz val="9"/>
        <color theme="0"/>
        <name val="Arial"/>
        <family val="2"/>
        <scheme val="none"/>
      </font>
      <fill>
        <patternFill patternType="solid">
          <fgColor indexed="64"/>
          <bgColor rgb="FF013248"/>
        </patternFill>
      </fill>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al="none"/>
        <vertAlign val="baseline"/>
        <sz val="9"/>
        <color rgb="FF01324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ertAlign val="baseline"/>
        <sz val="9"/>
        <color rgb="FF04A390"/>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rgb="FF013248"/>
        </top>
        <bottom style="thin">
          <color rgb="FF013248"/>
        </bottom>
      </border>
    </dxf>
    <dxf>
      <font>
        <b val="0"/>
        <i val="0"/>
        <strike val="0"/>
        <condense val="0"/>
        <extend val="0"/>
        <outline val="0"/>
        <shadow val="0"/>
        <u/>
        <vertAlign val="baseline"/>
        <sz val="9"/>
        <color rgb="FF04A390"/>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right/>
        <top style="thin">
          <color rgb="FF013248"/>
        </top>
        <bottom style="thin">
          <color rgb="FF013248"/>
        </bottom>
        <vertical/>
        <horizontal style="thin">
          <color rgb="FF013248"/>
        </horizontal>
      </border>
    </dxf>
    <dxf>
      <border>
        <top style="thin">
          <color rgb="FF013248"/>
        </top>
      </border>
    </dxf>
    <dxf>
      <border diagonalUp="0" diagonalDown="0">
        <left style="thin">
          <color rgb="FF013248"/>
        </left>
        <right style="thin">
          <color rgb="FF013248"/>
        </right>
        <top style="thin">
          <color rgb="FF013248"/>
        </top>
        <bottom style="thin">
          <color rgb="FF013248"/>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top" textRotation="0" wrapText="1" indent="0" justifyLastLine="0" shrinkToFit="0" readingOrder="0"/>
    </dxf>
    <dxf>
      <border>
        <bottom style="thin">
          <color rgb="FF013248"/>
        </bottom>
      </border>
    </dxf>
    <dxf>
      <font>
        <b val="0"/>
        <i val="0"/>
        <strike val="0"/>
        <condense val="0"/>
        <extend val="0"/>
        <outline val="0"/>
        <shadow val="0"/>
        <u val="none"/>
        <vertAlign val="baseline"/>
        <sz val="9"/>
        <color theme="0"/>
        <name val="Arial"/>
        <family val="2"/>
        <scheme val="none"/>
      </font>
      <fill>
        <patternFill patternType="solid">
          <fgColor indexed="64"/>
          <bgColor rgb="FF013248"/>
        </patternFill>
      </fill>
      <alignment horizontal="left" vertical="top" textRotation="0" wrapText="1" indent="0" justifyLastLine="0" shrinkToFit="0" readingOrder="0"/>
    </dxf>
    <dxf>
      <border>
        <left style="thin">
          <color rgb="FF6073A9"/>
        </left>
      </border>
    </dxf>
    <dxf>
      <border>
        <left style="thin">
          <color rgb="FF6073A9"/>
        </left>
      </border>
    </dxf>
    <dxf>
      <border>
        <top style="thin">
          <color rgb="FF6073A9"/>
        </top>
      </border>
    </dxf>
    <dxf>
      <border>
        <top style="thin">
          <color rgb="FF6073A9"/>
        </top>
      </border>
    </dxf>
    <dxf>
      <font>
        <b/>
        <color rgb="FF000000"/>
      </font>
    </dxf>
    <dxf>
      <font>
        <b/>
        <color rgb="FF000000"/>
      </font>
    </dxf>
    <dxf>
      <font>
        <b/>
        <color rgb="FF000000"/>
      </font>
      <border>
        <top style="double">
          <color rgb="FF6073A9"/>
        </top>
      </border>
    </dxf>
    <dxf>
      <font>
        <b/>
        <color rgb="FFFFFFFF"/>
      </font>
      <fill>
        <patternFill patternType="solid">
          <fgColor rgb="FF6073A9"/>
          <bgColor rgb="FF6073A9"/>
        </patternFill>
      </fill>
    </dxf>
    <dxf>
      <font>
        <color rgb="FF000000"/>
      </font>
      <border>
        <left style="thin">
          <color rgb="FF6073A9"/>
        </left>
        <right style="thin">
          <color rgb="FF6073A9"/>
        </right>
        <top style="thin">
          <color rgb="FF6073A9"/>
        </top>
        <bottom style="thin">
          <color rgb="FF6073A9"/>
        </bottom>
      </border>
    </dxf>
    <dxf>
      <border>
        <left style="thin">
          <color rgb="FF6073A9"/>
        </left>
      </border>
    </dxf>
    <dxf>
      <border>
        <left style="thin">
          <color rgb="FF6073A9"/>
        </left>
      </border>
    </dxf>
    <dxf>
      <border>
        <top style="thin">
          <color rgb="FF6073A9"/>
        </top>
      </border>
    </dxf>
    <dxf>
      <border>
        <top style="thin">
          <color rgb="FF6073A9"/>
        </top>
      </border>
    </dxf>
    <dxf>
      <font>
        <b/>
        <color rgb="FF000000"/>
      </font>
    </dxf>
    <dxf>
      <font>
        <b/>
        <color rgb="FF000000"/>
      </font>
    </dxf>
    <dxf>
      <font>
        <b/>
        <color rgb="FF000000"/>
      </font>
      <border>
        <top style="double">
          <color rgb="FF6073A9"/>
        </top>
      </border>
    </dxf>
    <dxf>
      <font>
        <b/>
        <color rgb="FFFFFFFF"/>
      </font>
      <fill>
        <patternFill patternType="solid">
          <fgColor rgb="FF6073A9"/>
          <bgColor rgb="FF6073A9"/>
        </patternFill>
      </fill>
    </dxf>
    <dxf>
      <font>
        <color rgb="FF000000"/>
      </font>
      <border>
        <left style="thin">
          <color rgb="FF6073A9"/>
        </left>
        <right style="thin">
          <color rgb="FF6073A9"/>
        </right>
        <top style="thin">
          <color rgb="FF6073A9"/>
        </top>
        <bottom style="thin">
          <color rgb="FF6073A9"/>
        </bottom>
      </border>
    </dxf>
    <dxf>
      <border>
        <left style="thin">
          <color rgb="FF6073A9"/>
        </left>
      </border>
    </dxf>
    <dxf>
      <border>
        <left style="thin">
          <color rgb="FF6073A9"/>
        </left>
      </border>
    </dxf>
    <dxf>
      <border>
        <top style="thin">
          <color rgb="FF6073A9"/>
        </top>
      </border>
    </dxf>
    <dxf>
      <border>
        <top style="thin">
          <color rgb="FF6073A9"/>
        </top>
      </border>
    </dxf>
    <dxf>
      <font>
        <b/>
        <color rgb="FF000000"/>
      </font>
    </dxf>
    <dxf>
      <font>
        <b/>
        <color rgb="FF000000"/>
      </font>
    </dxf>
    <dxf>
      <font>
        <b/>
        <color rgb="FF000000"/>
      </font>
      <border>
        <top style="double">
          <color rgb="FF6073A9"/>
        </top>
      </border>
    </dxf>
    <dxf>
      <font>
        <b/>
        <color rgb="FFFFFFFF"/>
      </font>
      <fill>
        <patternFill patternType="solid">
          <fgColor rgb="FF6073A9"/>
          <bgColor rgb="FF6073A9"/>
        </patternFill>
      </fill>
    </dxf>
    <dxf>
      <font>
        <color rgb="FF000000"/>
      </font>
      <border>
        <left style="thin">
          <color rgb="FF6073A9"/>
        </left>
        <right style="thin">
          <color rgb="FF6073A9"/>
        </right>
        <top style="thin">
          <color rgb="FF6073A9"/>
        </top>
        <bottom style="thin">
          <color rgb="FF6073A9"/>
        </bottom>
      </border>
    </dxf>
  </dxfs>
  <tableStyles count="3" defaultTableStyle="TableStyleMedium2" defaultPivotStyle="PivotStyleLight16">
    <tableStyle name="TableStyleLight12 2" pivot="0" count="9" xr9:uid="{127BE250-7BE8-4544-B656-BB9C7B5E9A3F}">
      <tableStyleElement type="wholeTable" dxfId="814"/>
      <tableStyleElement type="headerRow" dxfId="813"/>
      <tableStyleElement type="totalRow" dxfId="812"/>
      <tableStyleElement type="firstColumn" dxfId="811"/>
      <tableStyleElement type="lastColumn" dxfId="810"/>
      <tableStyleElement type="firstRowStripe" dxfId="809"/>
      <tableStyleElement type="secondRowStripe" dxfId="808"/>
      <tableStyleElement type="firstColumnStripe" dxfId="807"/>
      <tableStyleElement type="secondColumnStripe" dxfId="806"/>
    </tableStyle>
    <tableStyle name="TableStyleLight12 3" pivot="0" count="9" xr9:uid="{DB406013-36A6-4D00-BEDD-24E5F23F29CB}">
      <tableStyleElement type="wholeTable" dxfId="805"/>
      <tableStyleElement type="headerRow" dxfId="804"/>
      <tableStyleElement type="totalRow" dxfId="803"/>
      <tableStyleElement type="firstColumn" dxfId="802"/>
      <tableStyleElement type="lastColumn" dxfId="801"/>
      <tableStyleElement type="firstRowStripe" dxfId="800"/>
      <tableStyleElement type="secondRowStripe" dxfId="799"/>
      <tableStyleElement type="firstColumnStripe" dxfId="798"/>
      <tableStyleElement type="secondColumnStripe" dxfId="797"/>
    </tableStyle>
    <tableStyle name="TableStyleLight12 4" pivot="0" count="9" xr9:uid="{230DAE02-EE3E-4514-8942-DB859AFFE3DD}">
      <tableStyleElement type="wholeTable" dxfId="796"/>
      <tableStyleElement type="headerRow" dxfId="795"/>
      <tableStyleElement type="totalRow" dxfId="794"/>
      <tableStyleElement type="firstColumn" dxfId="793"/>
      <tableStyleElement type="lastColumn" dxfId="792"/>
      <tableStyleElement type="firstRowStripe" dxfId="791"/>
      <tableStyleElement type="secondRowStripe" dxfId="790"/>
      <tableStyleElement type="firstColumnStripe" dxfId="789"/>
      <tableStyleElement type="secondColumnStripe" dxfId="788"/>
    </tableStyle>
  </tableStyles>
  <colors>
    <mruColors>
      <color rgb="FF013248"/>
      <color rgb="FF04A390"/>
      <color rgb="FFFFFFFF"/>
      <color rgb="FF362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14111</xdr:colOff>
      <xdr:row>2</xdr:row>
      <xdr:rowOff>1425222</xdr:rowOff>
    </xdr:to>
    <xdr:pic>
      <xdr:nvPicPr>
        <xdr:cNvPr id="3" name="Imagen 2">
          <a:extLst>
            <a:ext uri="{FF2B5EF4-FFF2-40B4-BE49-F238E27FC236}">
              <a16:creationId xmlns:a16="http://schemas.microsoft.com/office/drawing/2014/main" id="{E0ECE358-CA09-994A-B984-2D546DA715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0"/>
          <a:ext cx="17275528" cy="19120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127000</xdr:colOff>
      <xdr:row>274</xdr:row>
      <xdr:rowOff>158750</xdr:rowOff>
    </xdr:from>
    <xdr:to>
      <xdr:col>1</xdr:col>
      <xdr:colOff>36286</xdr:colOff>
      <xdr:row>277</xdr:row>
      <xdr:rowOff>165555</xdr:rowOff>
    </xdr:to>
    <xdr:grpSp>
      <xdr:nvGrpSpPr>
        <xdr:cNvPr id="5" name="Grupo 4">
          <a:hlinkClick xmlns:r="http://schemas.openxmlformats.org/officeDocument/2006/relationships" r:id="rId1"/>
          <a:extLst>
            <a:ext uri="{FF2B5EF4-FFF2-40B4-BE49-F238E27FC236}">
              <a16:creationId xmlns:a16="http://schemas.microsoft.com/office/drawing/2014/main" id="{5C6D0F32-C933-43E5-8427-6FB48C554DE7}"/>
            </a:ext>
          </a:extLst>
        </xdr:cNvPr>
        <xdr:cNvGrpSpPr/>
      </xdr:nvGrpSpPr>
      <xdr:grpSpPr>
        <a:xfrm>
          <a:off x="127000" y="51375028"/>
          <a:ext cx="3211286" cy="535971"/>
          <a:chOff x="530678" y="45760821"/>
          <a:chExt cx="3075215" cy="571501"/>
        </a:xfrm>
      </xdr:grpSpPr>
      <xdr:pic>
        <xdr:nvPicPr>
          <xdr:cNvPr id="6" name="Gráfico 2" descr="Flechas de cheurón con relleno sólido">
            <a:extLst>
              <a:ext uri="{FF2B5EF4-FFF2-40B4-BE49-F238E27FC236}">
                <a16:creationId xmlns:a16="http://schemas.microsoft.com/office/drawing/2014/main" id="{0B5E2AAC-E3AF-201F-F44E-A32E3DE074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6122AAF2-65EB-E173-64AB-E25D3901059E}"/>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3068411</xdr:colOff>
      <xdr:row>34</xdr:row>
      <xdr:rowOff>6805</xdr:rowOff>
    </xdr:to>
    <xdr:grpSp>
      <xdr:nvGrpSpPr>
        <xdr:cNvPr id="5" name="Grupo 4">
          <a:hlinkClick xmlns:r="http://schemas.openxmlformats.org/officeDocument/2006/relationships" r:id="rId1"/>
          <a:extLst>
            <a:ext uri="{FF2B5EF4-FFF2-40B4-BE49-F238E27FC236}">
              <a16:creationId xmlns:a16="http://schemas.microsoft.com/office/drawing/2014/main" id="{3965FB09-D0A9-4D94-85B0-7B8369CCAD10}"/>
            </a:ext>
          </a:extLst>
        </xdr:cNvPr>
        <xdr:cNvGrpSpPr/>
      </xdr:nvGrpSpPr>
      <xdr:grpSpPr>
        <a:xfrm>
          <a:off x="0" y="5658556"/>
          <a:ext cx="3068411" cy="535971"/>
          <a:chOff x="530678" y="45760821"/>
          <a:chExt cx="3075215" cy="571501"/>
        </a:xfrm>
      </xdr:grpSpPr>
      <xdr:pic>
        <xdr:nvPicPr>
          <xdr:cNvPr id="6" name="Gráfico 2" descr="Flechas de cheurón con relleno sólido">
            <a:extLst>
              <a:ext uri="{FF2B5EF4-FFF2-40B4-BE49-F238E27FC236}">
                <a16:creationId xmlns:a16="http://schemas.microsoft.com/office/drawing/2014/main" id="{61439189-3A3B-6766-BAAE-24C52E8CD3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25891027-E2D4-2F1F-25E5-CBAE45AFB6A1}"/>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3068411</xdr:colOff>
      <xdr:row>45</xdr:row>
      <xdr:rowOff>1</xdr:rowOff>
    </xdr:to>
    <xdr:grpSp>
      <xdr:nvGrpSpPr>
        <xdr:cNvPr id="5" name="Grupo 4">
          <a:hlinkClick xmlns:r="http://schemas.openxmlformats.org/officeDocument/2006/relationships" r:id="rId1"/>
          <a:extLst>
            <a:ext uri="{FF2B5EF4-FFF2-40B4-BE49-F238E27FC236}">
              <a16:creationId xmlns:a16="http://schemas.microsoft.com/office/drawing/2014/main" id="{933D03E2-8B44-493C-97C5-D4CCA6F583FC}"/>
            </a:ext>
          </a:extLst>
        </xdr:cNvPr>
        <xdr:cNvGrpSpPr/>
      </xdr:nvGrpSpPr>
      <xdr:grpSpPr>
        <a:xfrm>
          <a:off x="0" y="9821333"/>
          <a:ext cx="3068411" cy="529168"/>
          <a:chOff x="530678" y="45760821"/>
          <a:chExt cx="3075215" cy="571501"/>
        </a:xfrm>
      </xdr:grpSpPr>
      <xdr:pic>
        <xdr:nvPicPr>
          <xdr:cNvPr id="6" name="Gráfico 2" descr="Flechas de cheurón con relleno sólido">
            <a:extLst>
              <a:ext uri="{FF2B5EF4-FFF2-40B4-BE49-F238E27FC236}">
                <a16:creationId xmlns:a16="http://schemas.microsoft.com/office/drawing/2014/main" id="{9344203A-DDCA-7E38-E3F1-060B3471C7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B0B6CE55-D545-5148-4FDF-C091813CCCF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9828</xdr:colOff>
      <xdr:row>15</xdr:row>
      <xdr:rowOff>149680</xdr:rowOff>
    </xdr:to>
    <xdr:grpSp>
      <xdr:nvGrpSpPr>
        <xdr:cNvPr id="5" name="Grupo 4">
          <a:hlinkClick xmlns:r="http://schemas.openxmlformats.org/officeDocument/2006/relationships" r:id="rId1"/>
          <a:extLst>
            <a:ext uri="{FF2B5EF4-FFF2-40B4-BE49-F238E27FC236}">
              <a16:creationId xmlns:a16="http://schemas.microsoft.com/office/drawing/2014/main" id="{315F37D6-77BE-4BE4-B028-A62C66FB4BC6}"/>
            </a:ext>
          </a:extLst>
        </xdr:cNvPr>
        <xdr:cNvGrpSpPr/>
      </xdr:nvGrpSpPr>
      <xdr:grpSpPr>
        <a:xfrm>
          <a:off x="0" y="2779889"/>
          <a:ext cx="3213050" cy="516569"/>
          <a:chOff x="530678" y="45760821"/>
          <a:chExt cx="3075215" cy="571501"/>
        </a:xfrm>
      </xdr:grpSpPr>
      <xdr:pic>
        <xdr:nvPicPr>
          <xdr:cNvPr id="6" name="Gráfico 2" descr="Flechas de cheurón con relleno sólido">
            <a:extLst>
              <a:ext uri="{FF2B5EF4-FFF2-40B4-BE49-F238E27FC236}">
                <a16:creationId xmlns:a16="http://schemas.microsoft.com/office/drawing/2014/main" id="{D972951E-A4E8-6F28-437F-B319E849AC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C96D8852-04A6-46B0-B990-B5625CD38DA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111</xdr:row>
      <xdr:rowOff>0</xdr:rowOff>
    </xdr:from>
    <xdr:to>
      <xdr:col>0</xdr:col>
      <xdr:colOff>3068411</xdr:colOff>
      <xdr:row>113</xdr:row>
      <xdr:rowOff>149680</xdr:rowOff>
    </xdr:to>
    <xdr:grpSp>
      <xdr:nvGrpSpPr>
        <xdr:cNvPr id="5" name="Grupo 4">
          <a:hlinkClick xmlns:r="http://schemas.openxmlformats.org/officeDocument/2006/relationships" r:id="rId1"/>
          <a:extLst>
            <a:ext uri="{FF2B5EF4-FFF2-40B4-BE49-F238E27FC236}">
              <a16:creationId xmlns:a16="http://schemas.microsoft.com/office/drawing/2014/main" id="{9F134249-A9BB-439B-AC20-D959E86DBD4E}"/>
            </a:ext>
          </a:extLst>
        </xdr:cNvPr>
        <xdr:cNvGrpSpPr/>
      </xdr:nvGrpSpPr>
      <xdr:grpSpPr>
        <a:xfrm>
          <a:off x="0" y="26310167"/>
          <a:ext cx="3068411" cy="516569"/>
          <a:chOff x="530678" y="45760821"/>
          <a:chExt cx="3075215" cy="571501"/>
        </a:xfrm>
      </xdr:grpSpPr>
      <xdr:pic>
        <xdr:nvPicPr>
          <xdr:cNvPr id="6" name="Gráfico 2" descr="Flechas de cheurón con relleno sólido">
            <a:extLst>
              <a:ext uri="{FF2B5EF4-FFF2-40B4-BE49-F238E27FC236}">
                <a16:creationId xmlns:a16="http://schemas.microsoft.com/office/drawing/2014/main" id="{9FE63E20-856C-0D63-C67C-9966BBE9D9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D5C3E181-8006-0EFA-F4C9-3A9173CFA2CE}"/>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18</xdr:row>
      <xdr:rowOff>74083</xdr:rowOff>
    </xdr:from>
    <xdr:to>
      <xdr:col>1</xdr:col>
      <xdr:colOff>9828</xdr:colOff>
      <xdr:row>21</xdr:row>
      <xdr:rowOff>65013</xdr:rowOff>
    </xdr:to>
    <xdr:grpSp>
      <xdr:nvGrpSpPr>
        <xdr:cNvPr id="5" name="Grupo 4">
          <a:hlinkClick xmlns:r="http://schemas.openxmlformats.org/officeDocument/2006/relationships" r:id="rId1"/>
          <a:extLst>
            <a:ext uri="{FF2B5EF4-FFF2-40B4-BE49-F238E27FC236}">
              <a16:creationId xmlns:a16="http://schemas.microsoft.com/office/drawing/2014/main" id="{DFBCD9A3-F7A8-4C5D-B8EE-ACDF97EBC9F9}"/>
            </a:ext>
          </a:extLst>
        </xdr:cNvPr>
        <xdr:cNvGrpSpPr/>
      </xdr:nvGrpSpPr>
      <xdr:grpSpPr>
        <a:xfrm>
          <a:off x="0" y="3891139"/>
          <a:ext cx="3213050" cy="520096"/>
          <a:chOff x="530678" y="45760821"/>
          <a:chExt cx="3075215" cy="571501"/>
        </a:xfrm>
      </xdr:grpSpPr>
      <xdr:pic>
        <xdr:nvPicPr>
          <xdr:cNvPr id="6" name="Gráfico 2" descr="Flechas de cheurón con relleno sólido">
            <a:extLst>
              <a:ext uri="{FF2B5EF4-FFF2-40B4-BE49-F238E27FC236}">
                <a16:creationId xmlns:a16="http://schemas.microsoft.com/office/drawing/2014/main" id="{B15F63D8-0318-66B8-FD97-F0DD102FFD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CF9625E3-A9B1-B4D8-3A98-7D555725D552}"/>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79375</xdr:colOff>
      <xdr:row>73</xdr:row>
      <xdr:rowOff>15875</xdr:rowOff>
    </xdr:from>
    <xdr:to>
      <xdr:col>0</xdr:col>
      <xdr:colOff>3147786</xdr:colOff>
      <xdr:row>76</xdr:row>
      <xdr:rowOff>22680</xdr:rowOff>
    </xdr:to>
    <xdr:grpSp>
      <xdr:nvGrpSpPr>
        <xdr:cNvPr id="5" name="Grupo 4">
          <a:hlinkClick xmlns:r="http://schemas.openxmlformats.org/officeDocument/2006/relationships" r:id="rId1"/>
          <a:extLst>
            <a:ext uri="{FF2B5EF4-FFF2-40B4-BE49-F238E27FC236}">
              <a16:creationId xmlns:a16="http://schemas.microsoft.com/office/drawing/2014/main" id="{F694DE05-59EC-4AB4-9165-0D209784EB3B}"/>
            </a:ext>
          </a:extLst>
        </xdr:cNvPr>
        <xdr:cNvGrpSpPr/>
      </xdr:nvGrpSpPr>
      <xdr:grpSpPr>
        <a:xfrm>
          <a:off x="79375" y="12948708"/>
          <a:ext cx="3068411" cy="535972"/>
          <a:chOff x="530678" y="45760821"/>
          <a:chExt cx="3075215" cy="571501"/>
        </a:xfrm>
      </xdr:grpSpPr>
      <xdr:pic>
        <xdr:nvPicPr>
          <xdr:cNvPr id="6" name="Gráfico 2" descr="Flechas de cheurón con relleno sólido">
            <a:extLst>
              <a:ext uri="{FF2B5EF4-FFF2-40B4-BE49-F238E27FC236}">
                <a16:creationId xmlns:a16="http://schemas.microsoft.com/office/drawing/2014/main" id="{FA8698E6-D812-2BEF-1A3C-92E806658F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AAA86146-BADC-E1F0-B2D4-6DCA4D7FCCB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85</xdr:row>
      <xdr:rowOff>0</xdr:rowOff>
    </xdr:from>
    <xdr:to>
      <xdr:col>0</xdr:col>
      <xdr:colOff>3068411</xdr:colOff>
      <xdr:row>88</xdr:row>
      <xdr:rowOff>6805</xdr:rowOff>
    </xdr:to>
    <xdr:grpSp>
      <xdr:nvGrpSpPr>
        <xdr:cNvPr id="5" name="Grupo 4">
          <a:hlinkClick xmlns:r="http://schemas.openxmlformats.org/officeDocument/2006/relationships" r:id="rId1"/>
          <a:extLst>
            <a:ext uri="{FF2B5EF4-FFF2-40B4-BE49-F238E27FC236}">
              <a16:creationId xmlns:a16="http://schemas.microsoft.com/office/drawing/2014/main" id="{3FC593F9-5EA7-4BFD-A8C5-B624E71AB0C2}"/>
            </a:ext>
          </a:extLst>
        </xdr:cNvPr>
        <xdr:cNvGrpSpPr/>
      </xdr:nvGrpSpPr>
      <xdr:grpSpPr>
        <a:xfrm>
          <a:off x="0" y="21209000"/>
          <a:ext cx="3068411" cy="535972"/>
          <a:chOff x="530678" y="45760821"/>
          <a:chExt cx="3075215" cy="571501"/>
        </a:xfrm>
      </xdr:grpSpPr>
      <xdr:pic>
        <xdr:nvPicPr>
          <xdr:cNvPr id="6" name="Gráfico 2" descr="Flechas de cheurón con relleno sólido">
            <a:extLst>
              <a:ext uri="{FF2B5EF4-FFF2-40B4-BE49-F238E27FC236}">
                <a16:creationId xmlns:a16="http://schemas.microsoft.com/office/drawing/2014/main" id="{B67B1B12-C681-8FD3-0F05-C4A9B7F188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39B2A517-2A93-306B-3BCB-96FF5FE98B69}"/>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51</xdr:row>
      <xdr:rowOff>0</xdr:rowOff>
    </xdr:from>
    <xdr:to>
      <xdr:col>2</xdr:col>
      <xdr:colOff>382361</xdr:colOff>
      <xdr:row>53</xdr:row>
      <xdr:rowOff>149680</xdr:rowOff>
    </xdr:to>
    <xdr:grpSp>
      <xdr:nvGrpSpPr>
        <xdr:cNvPr id="5" name="Grupo 4">
          <a:hlinkClick xmlns:r="http://schemas.openxmlformats.org/officeDocument/2006/relationships" r:id="rId1"/>
          <a:extLst>
            <a:ext uri="{FF2B5EF4-FFF2-40B4-BE49-F238E27FC236}">
              <a16:creationId xmlns:a16="http://schemas.microsoft.com/office/drawing/2014/main" id="{828B710E-D054-4710-9D1F-6B6A81CC1E5D}"/>
            </a:ext>
          </a:extLst>
        </xdr:cNvPr>
        <xdr:cNvGrpSpPr/>
      </xdr:nvGrpSpPr>
      <xdr:grpSpPr>
        <a:xfrm>
          <a:off x="0" y="30811611"/>
          <a:ext cx="3190472" cy="502458"/>
          <a:chOff x="530678" y="45760821"/>
          <a:chExt cx="3075215" cy="571501"/>
        </a:xfrm>
      </xdr:grpSpPr>
      <xdr:pic>
        <xdr:nvPicPr>
          <xdr:cNvPr id="6" name="Gráfico 2" descr="Flechas de cheurón con relleno sólido">
            <a:extLst>
              <a:ext uri="{FF2B5EF4-FFF2-40B4-BE49-F238E27FC236}">
                <a16:creationId xmlns:a16="http://schemas.microsoft.com/office/drawing/2014/main" id="{AD9C9873-FBF6-24C0-D586-36BC5CDAA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6B4FE6E7-DFE6-1288-A705-2BD10DA9F49C}"/>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124164</xdr:colOff>
      <xdr:row>58</xdr:row>
      <xdr:rowOff>115660</xdr:rowOff>
    </xdr:from>
    <xdr:to>
      <xdr:col>0</xdr:col>
      <xdr:colOff>3192575</xdr:colOff>
      <xdr:row>61</xdr:row>
      <xdr:rowOff>115661</xdr:rowOff>
    </xdr:to>
    <xdr:grpSp>
      <xdr:nvGrpSpPr>
        <xdr:cNvPr id="5" name="Grupo 4">
          <a:hlinkClick xmlns:r="http://schemas.openxmlformats.org/officeDocument/2006/relationships" r:id="rId1"/>
          <a:extLst>
            <a:ext uri="{FF2B5EF4-FFF2-40B4-BE49-F238E27FC236}">
              <a16:creationId xmlns:a16="http://schemas.microsoft.com/office/drawing/2014/main" id="{C38EBE58-80CF-4074-8A68-E2AF2D1A4F9B}"/>
            </a:ext>
          </a:extLst>
        </xdr:cNvPr>
        <xdr:cNvGrpSpPr/>
      </xdr:nvGrpSpPr>
      <xdr:grpSpPr>
        <a:xfrm>
          <a:off x="124164" y="29565549"/>
          <a:ext cx="3068411" cy="529168"/>
          <a:chOff x="530678" y="45760821"/>
          <a:chExt cx="3075215" cy="571501"/>
        </a:xfrm>
      </xdr:grpSpPr>
      <xdr:pic>
        <xdr:nvPicPr>
          <xdr:cNvPr id="3" name="Gráfico 2" descr="Flechas de cheurón con relleno sólido">
            <a:extLst>
              <a:ext uri="{FF2B5EF4-FFF2-40B4-BE49-F238E27FC236}">
                <a16:creationId xmlns:a16="http://schemas.microsoft.com/office/drawing/2014/main" id="{E8CF935F-310A-4952-9B41-604110387A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786E56AE-56A1-447D-B1B8-90806829125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23</xdr:row>
      <xdr:rowOff>81643</xdr:rowOff>
    </xdr:from>
    <xdr:to>
      <xdr:col>0</xdr:col>
      <xdr:colOff>3095625</xdr:colOff>
      <xdr:row>26</xdr:row>
      <xdr:rowOff>81644</xdr:rowOff>
    </xdr:to>
    <xdr:grpSp>
      <xdr:nvGrpSpPr>
        <xdr:cNvPr id="5" name="Grupo 4">
          <a:hlinkClick xmlns:r="http://schemas.openxmlformats.org/officeDocument/2006/relationships" r:id="rId1"/>
          <a:extLst>
            <a:ext uri="{FF2B5EF4-FFF2-40B4-BE49-F238E27FC236}">
              <a16:creationId xmlns:a16="http://schemas.microsoft.com/office/drawing/2014/main" id="{17127C70-4FD1-4AB9-A2C7-4C9AB3784D25}"/>
            </a:ext>
          </a:extLst>
        </xdr:cNvPr>
        <xdr:cNvGrpSpPr/>
      </xdr:nvGrpSpPr>
      <xdr:grpSpPr>
        <a:xfrm>
          <a:off x="27214" y="7624032"/>
          <a:ext cx="3068411" cy="529168"/>
          <a:chOff x="530678" y="45760821"/>
          <a:chExt cx="3075215" cy="571501"/>
        </a:xfrm>
      </xdr:grpSpPr>
      <xdr:pic>
        <xdr:nvPicPr>
          <xdr:cNvPr id="6" name="Gráfico 2" descr="Flechas de cheurón con relleno sólido">
            <a:extLst>
              <a:ext uri="{FF2B5EF4-FFF2-40B4-BE49-F238E27FC236}">
                <a16:creationId xmlns:a16="http://schemas.microsoft.com/office/drawing/2014/main" id="{59DB8720-44C5-37DC-3C08-9650DB9766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C2312D7E-C187-A9E7-835E-A714663489D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76</xdr:row>
      <xdr:rowOff>0</xdr:rowOff>
    </xdr:from>
    <xdr:to>
      <xdr:col>1</xdr:col>
      <xdr:colOff>755197</xdr:colOff>
      <xdr:row>79</xdr:row>
      <xdr:rowOff>2</xdr:rowOff>
    </xdr:to>
    <xdr:grpSp>
      <xdr:nvGrpSpPr>
        <xdr:cNvPr id="5" name="Grupo 4">
          <a:hlinkClick xmlns:r="http://schemas.openxmlformats.org/officeDocument/2006/relationships" r:id="rId1"/>
          <a:extLst>
            <a:ext uri="{FF2B5EF4-FFF2-40B4-BE49-F238E27FC236}">
              <a16:creationId xmlns:a16="http://schemas.microsoft.com/office/drawing/2014/main" id="{3798D585-9074-4FAB-A49E-BBF323649048}"/>
            </a:ext>
          </a:extLst>
        </xdr:cNvPr>
        <xdr:cNvGrpSpPr/>
      </xdr:nvGrpSpPr>
      <xdr:grpSpPr>
        <a:xfrm>
          <a:off x="0" y="18288000"/>
          <a:ext cx="3182308" cy="529169"/>
          <a:chOff x="530678" y="45760821"/>
          <a:chExt cx="3075215" cy="571501"/>
        </a:xfrm>
      </xdr:grpSpPr>
      <xdr:pic>
        <xdr:nvPicPr>
          <xdr:cNvPr id="6" name="Gráfico 2" descr="Flechas de cheurón con relleno sólido">
            <a:extLst>
              <a:ext uri="{FF2B5EF4-FFF2-40B4-BE49-F238E27FC236}">
                <a16:creationId xmlns:a16="http://schemas.microsoft.com/office/drawing/2014/main" id="{FF7F43D9-3A5C-9BF7-3F50-08E7EA1D17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10E50C81-B863-EBEC-DCA3-3F3A9E00B888}"/>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xdr:colOff>
      <xdr:row>85</xdr:row>
      <xdr:rowOff>163285</xdr:rowOff>
    </xdr:from>
    <xdr:to>
      <xdr:col>0</xdr:col>
      <xdr:colOff>3095625</xdr:colOff>
      <xdr:row>88</xdr:row>
      <xdr:rowOff>163287</xdr:rowOff>
    </xdr:to>
    <xdr:grpSp>
      <xdr:nvGrpSpPr>
        <xdr:cNvPr id="5" name="Grupo 4">
          <a:hlinkClick xmlns:r="http://schemas.openxmlformats.org/officeDocument/2006/relationships" r:id="rId1"/>
          <a:extLst>
            <a:ext uri="{FF2B5EF4-FFF2-40B4-BE49-F238E27FC236}">
              <a16:creationId xmlns:a16="http://schemas.microsoft.com/office/drawing/2014/main" id="{54AFC9E7-08DE-43FE-B9D7-41CB3DA59A4A}"/>
            </a:ext>
          </a:extLst>
        </xdr:cNvPr>
        <xdr:cNvGrpSpPr/>
      </xdr:nvGrpSpPr>
      <xdr:grpSpPr>
        <a:xfrm>
          <a:off x="27214" y="16602729"/>
          <a:ext cx="3068411" cy="529169"/>
          <a:chOff x="530678" y="45760821"/>
          <a:chExt cx="3075215" cy="571501"/>
        </a:xfrm>
      </xdr:grpSpPr>
      <xdr:pic>
        <xdr:nvPicPr>
          <xdr:cNvPr id="6" name="Gráfico 2" descr="Flechas de cheurón con relleno sólido">
            <a:extLst>
              <a:ext uri="{FF2B5EF4-FFF2-40B4-BE49-F238E27FC236}">
                <a16:creationId xmlns:a16="http://schemas.microsoft.com/office/drawing/2014/main" id="{52FC7474-F2F7-6FC8-8047-83EF286711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9C54FA4F-D153-2096-8E9E-FE9B5F91254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37</xdr:row>
      <xdr:rowOff>122464</xdr:rowOff>
    </xdr:from>
    <xdr:to>
      <xdr:col>1</xdr:col>
      <xdr:colOff>1816554</xdr:colOff>
      <xdr:row>40</xdr:row>
      <xdr:rowOff>122465</xdr:rowOff>
    </xdr:to>
    <xdr:grpSp>
      <xdr:nvGrpSpPr>
        <xdr:cNvPr id="5" name="Grupo 4">
          <a:hlinkClick xmlns:r="http://schemas.openxmlformats.org/officeDocument/2006/relationships" r:id="rId1"/>
          <a:extLst>
            <a:ext uri="{FF2B5EF4-FFF2-40B4-BE49-F238E27FC236}">
              <a16:creationId xmlns:a16="http://schemas.microsoft.com/office/drawing/2014/main" id="{1A97A2B8-4CF0-40F2-8AC1-905E84FEC3B6}"/>
            </a:ext>
          </a:extLst>
        </xdr:cNvPr>
        <xdr:cNvGrpSpPr/>
      </xdr:nvGrpSpPr>
      <xdr:grpSpPr>
        <a:xfrm>
          <a:off x="0" y="11968742"/>
          <a:ext cx="3128887" cy="529167"/>
          <a:chOff x="530678" y="45760821"/>
          <a:chExt cx="3075215" cy="571501"/>
        </a:xfrm>
      </xdr:grpSpPr>
      <xdr:pic>
        <xdr:nvPicPr>
          <xdr:cNvPr id="6" name="Gráfico 2" descr="Flechas de cheurón con relleno sólido">
            <a:extLst>
              <a:ext uri="{FF2B5EF4-FFF2-40B4-BE49-F238E27FC236}">
                <a16:creationId xmlns:a16="http://schemas.microsoft.com/office/drawing/2014/main" id="{1FBC6B2F-DB31-89F9-1371-C3416B03AD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DA6096E4-5382-5838-E8FC-DDCDB1F3A67F}"/>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95</xdr:row>
      <xdr:rowOff>142875</xdr:rowOff>
    </xdr:from>
    <xdr:to>
      <xdr:col>0</xdr:col>
      <xdr:colOff>3131911</xdr:colOff>
      <xdr:row>98</xdr:row>
      <xdr:rowOff>149680</xdr:rowOff>
    </xdr:to>
    <xdr:grpSp>
      <xdr:nvGrpSpPr>
        <xdr:cNvPr id="2" name="Grupo 4">
          <a:hlinkClick xmlns:r="http://schemas.openxmlformats.org/officeDocument/2006/relationships" r:id="rId1"/>
          <a:extLst>
            <a:ext uri="{FF2B5EF4-FFF2-40B4-BE49-F238E27FC236}">
              <a16:creationId xmlns:a16="http://schemas.microsoft.com/office/drawing/2014/main" id="{2ABD26C0-2239-4075-A7CD-4E9A00DF4A37}"/>
            </a:ext>
          </a:extLst>
        </xdr:cNvPr>
        <xdr:cNvGrpSpPr/>
      </xdr:nvGrpSpPr>
      <xdr:grpSpPr>
        <a:xfrm>
          <a:off x="63500" y="22113875"/>
          <a:ext cx="3068411" cy="535972"/>
          <a:chOff x="530678" y="45760821"/>
          <a:chExt cx="3075215" cy="571501"/>
        </a:xfrm>
      </xdr:grpSpPr>
      <xdr:pic>
        <xdr:nvPicPr>
          <xdr:cNvPr id="3" name="Gráfico 2" descr="Flechas de cheurón con relleno sólido">
            <a:extLst>
              <a:ext uri="{FF2B5EF4-FFF2-40B4-BE49-F238E27FC236}">
                <a16:creationId xmlns:a16="http://schemas.microsoft.com/office/drawing/2014/main" id="{834F18EC-ABEC-1F69-D78B-3DEC8F314D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76232C0E-28FC-1B05-90A4-CC160ADD539A}"/>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11906</xdr:colOff>
      <xdr:row>8</xdr:row>
      <xdr:rowOff>95250</xdr:rowOff>
    </xdr:from>
    <xdr:to>
      <xdr:col>1</xdr:col>
      <xdr:colOff>1723004</xdr:colOff>
      <xdr:row>11</xdr:row>
      <xdr:rowOff>90149</xdr:rowOff>
    </xdr:to>
    <xdr:grpSp>
      <xdr:nvGrpSpPr>
        <xdr:cNvPr id="5" name="Grupo 4">
          <a:hlinkClick xmlns:r="http://schemas.openxmlformats.org/officeDocument/2006/relationships" r:id="rId1"/>
          <a:extLst>
            <a:ext uri="{FF2B5EF4-FFF2-40B4-BE49-F238E27FC236}">
              <a16:creationId xmlns:a16="http://schemas.microsoft.com/office/drawing/2014/main" id="{C251AC30-9F86-4F0D-85B4-E50D3C0A2ED2}"/>
            </a:ext>
          </a:extLst>
        </xdr:cNvPr>
        <xdr:cNvGrpSpPr/>
      </xdr:nvGrpSpPr>
      <xdr:grpSpPr>
        <a:xfrm>
          <a:off x="11906" y="2162528"/>
          <a:ext cx="3129265" cy="524065"/>
          <a:chOff x="530678" y="45760821"/>
          <a:chExt cx="3075215" cy="571501"/>
        </a:xfrm>
      </xdr:grpSpPr>
      <xdr:pic>
        <xdr:nvPicPr>
          <xdr:cNvPr id="6" name="Gráfico 2" descr="Flechas de cheurón con relleno sólido">
            <a:extLst>
              <a:ext uri="{FF2B5EF4-FFF2-40B4-BE49-F238E27FC236}">
                <a16:creationId xmlns:a16="http://schemas.microsoft.com/office/drawing/2014/main" id="{3AAE1F99-AA08-D521-F026-2BC1030A4C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11F96316-0C38-3320-7E39-07D70E5B4D6E}"/>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111125</xdr:colOff>
      <xdr:row>110</xdr:row>
      <xdr:rowOff>142875</xdr:rowOff>
    </xdr:from>
    <xdr:to>
      <xdr:col>0</xdr:col>
      <xdr:colOff>3179536</xdr:colOff>
      <xdr:row>113</xdr:row>
      <xdr:rowOff>149680</xdr:rowOff>
    </xdr:to>
    <xdr:grpSp>
      <xdr:nvGrpSpPr>
        <xdr:cNvPr id="5" name="Grupo 4">
          <a:hlinkClick xmlns:r="http://schemas.openxmlformats.org/officeDocument/2006/relationships" r:id="rId1"/>
          <a:extLst>
            <a:ext uri="{FF2B5EF4-FFF2-40B4-BE49-F238E27FC236}">
              <a16:creationId xmlns:a16="http://schemas.microsoft.com/office/drawing/2014/main" id="{9FABC3F4-5735-41AC-A165-F3249170947B}"/>
            </a:ext>
          </a:extLst>
        </xdr:cNvPr>
        <xdr:cNvGrpSpPr/>
      </xdr:nvGrpSpPr>
      <xdr:grpSpPr>
        <a:xfrm>
          <a:off x="111125" y="23659042"/>
          <a:ext cx="3068411" cy="535971"/>
          <a:chOff x="530678" y="45760821"/>
          <a:chExt cx="3075215" cy="571501"/>
        </a:xfrm>
      </xdr:grpSpPr>
      <xdr:pic>
        <xdr:nvPicPr>
          <xdr:cNvPr id="6" name="Gráfico 2" descr="Flechas de cheurón con relleno sólido">
            <a:extLst>
              <a:ext uri="{FF2B5EF4-FFF2-40B4-BE49-F238E27FC236}">
                <a16:creationId xmlns:a16="http://schemas.microsoft.com/office/drawing/2014/main" id="{8CD23387-6417-405F-695F-84B695D833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7" name="CuadroTexto 3">
            <a:extLst>
              <a:ext uri="{FF2B5EF4-FFF2-40B4-BE49-F238E27FC236}">
                <a16:creationId xmlns:a16="http://schemas.microsoft.com/office/drawing/2014/main" id="{11BCE5C3-A38F-41E8-F1FC-0F23A4DCF63D}"/>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rgbClr val="04A390"/>
                </a:solidFill>
              </a:rPr>
              <a:t>Back to Content Table</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Luz Habed" id="{4F8A6CE2-D40D-4879-9647-D3889F6658BA}" userId="S::LHabed@calibremining.com::614164c9-982d-4c2b-852d-49b508408b7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6BB1E2-12EB-45F9-8451-93346241DF82}" name="Tabla4567" displayName="Tabla4567" ref="B20:E90" totalsRowShown="0" headerRowDxfId="787" dataDxfId="785" headerRowBorderDxfId="786" tableBorderDxfId="784" totalsRowBorderDxfId="783">
  <autoFilter ref="B20:E90" xr:uid="{8F96175E-15A1-44BB-AD8F-9995E329FA75}"/>
  <tableColumns count="4">
    <tableColumn id="1" xr3:uid="{DB63538B-1317-4EBA-8B75-8F267B6D499D}" name="TAB / MATERIAL TOPIC" dataDxfId="782"/>
    <tableColumn id="3" xr3:uid="{5D7F36D0-FD9E-4423-9B7E-D0DF93F6B71B}" name="TABLE / DISCLOSURE" dataDxfId="781"/>
    <tableColumn id="4" xr3:uid="{D3C0CF20-8B16-42F0-A737-C9C9EA932328}" name="FRAMEWORK DISCLOSURE" dataDxfId="780"/>
    <tableColumn id="5" xr3:uid="{BB0EB0B9-7FC1-4263-832A-9A4844D8ED4C}" name="REPORT SECTION" dataDxfId="779"/>
  </tableColumns>
  <tableStyleInfo name="TableStyleLight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1025861-5C62-481A-A6DD-0196132535B1}" name="Tabla71317182671" displayName="Tabla71317182671" ref="A67:E70" totalsRowShown="0" headerRowDxfId="702" dataDxfId="700" headerRowBorderDxfId="701" tableBorderDxfId="699" totalsRowBorderDxfId="698">
  <autoFilter ref="A67:E70" xr:uid="{01025861-5C62-481A-A6DD-0196132535B1}"/>
  <tableColumns count="5">
    <tableColumn id="2" xr3:uid="{D6115867-EBED-49D9-AF86-813B94D4E5B8}" name="Site/Project" dataDxfId="697"/>
    <tableColumn id="6" xr3:uid="{A8CDE1E9-78C7-4250-B9E0-48915B5BBC10}" name="Ongoing exploitation projects FY2022" dataDxfId="696"/>
    <tableColumn id="3" xr3:uid="{01B85E5E-F4DA-4268-B7E4-6D3CCC460E0B}" name="Does its exploitation projects have a closure plan?" dataDxfId="695"/>
    <tableColumn id="7" xr3:uid="{5CAA83A2-6F69-493A-88F8-EA87FE81D367}" name="Provision for closure?" dataDxfId="694"/>
    <tableColumn id="4" xr3:uid="{B61F02A2-4345-43B4-9CFA-48E658EA2184}" name="If yes, refer to financial statement" dataDxfId="693"/>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FDD3199E-7E8B-484F-886F-6713DE02684B}" name="Tabla2058" displayName="Tabla2058" ref="A4:G7" totalsRowShown="0" headerRowDxfId="692" dataDxfId="690" headerRowBorderDxfId="691" tableBorderDxfId="689" totalsRowBorderDxfId="688">
  <autoFilter ref="A4:G7" xr:uid="{FDD3199E-7E8B-484F-886F-6713DE02684B}"/>
  <tableColumns count="7">
    <tableColumn id="1" xr3:uid="{B115BA8C-88BA-4F70-875B-D7148C6E8BC6}" name="Site" dataDxfId="687"/>
    <tableColumn id="2" xr3:uid="{5A1D381F-9E19-4A6F-8ED9-4A2813EBE3A1}" name="Nature of impact" dataDxfId="686"/>
    <tableColumn id="3" xr3:uid="{89A5FF6F-BE59-402D-B4CD-DAF63FF1132A}" name="Type of impact" dataDxfId="685"/>
    <tableColumn id="4" xr3:uid="{D1FDFD39-45AC-427E-9394-6A41ED71FA5A}" name="Species affected" dataDxfId="684"/>
    <tableColumn id="5" xr3:uid="{3D95D555-AE9C-4C7B-8606-19D9B0C8D1FA}" name="Size of area (Km2)(1)" dataDxfId="683"/>
    <tableColumn id="6" xr3:uid="{D0A40E6B-DF90-4A99-B7C1-37075DF89B2C}" name="Duration" dataDxfId="682"/>
    <tableColumn id="7" xr3:uid="{B8DF351C-F3BF-45DC-8C08-8114AB00D9CD}" name="Reversible?" dataDxfId="681"/>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A832EA54-FBFA-4D5C-A6E4-E7EFE441C9B0}" name="Tabla2159" displayName="Tabla2159" ref="A13:H17" totalsRowCount="1" headerRowDxfId="680" dataDxfId="679" totalsRowDxfId="677" tableBorderDxfId="678" totalsRowCellStyle="Total">
  <autoFilter ref="A13:H16" xr:uid="{A832EA54-FBFA-4D5C-A6E4-E7EFE441C9B0}"/>
  <tableColumns count="8">
    <tableColumn id="1" xr3:uid="{2FAF55ED-5845-4812-895D-8C99F84B780F}" name="Site" totalsRowLabel="Total" dataDxfId="676" totalsRowDxfId="675"/>
    <tableColumn id="2" xr3:uid="{60B57C0E-EB8C-46D6-A738-3C8605B7F566}" name="Size of habitat protected (Km2)(1) " totalsRowFunction="sum" dataDxfId="674" totalsRowDxfId="673"/>
    <tableColumn id="3" xr3:uid="{A1A32150-962E-4762-A402-B16BF8DFB8D4}" name="Geographic location of habitat protected" dataDxfId="672" totalsRowDxfId="671"/>
    <tableColumn id="4" xr3:uid="{893AFFE4-65D8-49E8-97DE-812B1438ADC6}" name="Size of habitat restored (Km2)" totalsRowFunction="sum" dataDxfId="670" totalsRowDxfId="669"/>
    <tableColumn id="5" xr3:uid="{2D045DF9-395A-489E-9DA1-CD011CC96467}" name="Geographic location of habitat restored" dataDxfId="668" totalsRowDxfId="667"/>
    <tableColumn id="6" xr3:uid="{ABB2D1CC-A5DA-4E90-A36B-1D0FD7273D47}" name="Restoration subject to independent inspection / Audit?" dataDxfId="666" totalsRowDxfId="665"/>
    <tableColumn id="7" xr3:uid="{A85EEA19-1E80-481D-B45E-E02912DCC8E1}" name="Partnership with third parties?" dataDxfId="664" totalsRowDxfId="663"/>
    <tableColumn id="8" xr3:uid="{E83CC181-6847-47D5-817A-327C806E62CF}" name="Status of area" totalsRowFunction="count" dataDxfId="662" totalsRowDxfId="661"/>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AD268976-0354-4BF8-AD85-17DD37D0A984}" name="Table43" displayName="Table43" ref="A23:E29" totalsRowShown="0" headerRowDxfId="660" dataDxfId="659" tableBorderDxfId="658">
  <autoFilter ref="A23:E29" xr:uid="{AD268976-0354-4BF8-AD85-17DD37D0A984}"/>
  <tableColumns count="5">
    <tableColumn id="1" xr3:uid="{93A633F3-9251-4BCC-93C9-7BA03EE28BFB}" name="Species" dataDxfId="657"/>
    <tableColumn id="2" xr3:uid="{9CB6E9EF-9A7D-4F0D-A056-0B389A5C770E}" name="Company" dataDxfId="656">
      <calculatedColumnFormula>SUM(Table43[[#This Row],[El Limon Complex]:[Pan Mine]])</calculatedColumnFormula>
    </tableColumn>
    <tableColumn id="3" xr3:uid="{C8D2773E-C351-4EEB-868D-973C6EE078DF}" name="El Limon Complex" dataDxfId="655"/>
    <tableColumn id="4" xr3:uid="{70ECAC26-1170-45E5-9FB9-ED419FC25D8E}" name="La Libertad Complex" dataDxfId="654"/>
    <tableColumn id="5" xr3:uid="{0CE9F61C-5F41-4F4E-8855-2493B6E3BEE9}" name="Pan Mine" dataDxfId="653"/>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92C0B1BC-C156-4B1A-B41A-633180A69838}" name="Tabla22130" displayName="Tabla22130" ref="A41:E49" totalsRowShown="0" headerRowDxfId="652" dataDxfId="651" totalsRowDxfId="650" totalsRowBorderDxfId="649" totalsRowCellStyle="Total">
  <autoFilter ref="A41:E49" xr:uid="{92C0B1BC-C156-4B1A-B41A-633180A69838}"/>
  <tableColumns count="5">
    <tableColumn id="1" xr3:uid="{D91F13F7-E1D9-411E-827B-688F5C1776C7}" name="Site (1)" dataDxfId="648" totalsRowDxfId="647"/>
    <tableColumn id="2" xr3:uid="{3C80E972-3525-40F7-BCC7-D1999862EAFF}" name="Land disturbed and not yet rehabilitated at beginning of reporting period (A: opening balance) (Km2)" dataDxfId="646" totalsRowDxfId="645"/>
    <tableColumn id="3" xr3:uid="{17A83254-E65A-4AF4-ADDA-BF43E3C714CF}" name="Amount of land newly disturbed within the reporting period (B) (Km2)" dataDxfId="644" totalsRowDxfId="643"/>
    <tableColumn id="4" xr3:uid="{1599B30D-F74F-4CC3-9DC2-C1A23DF189AE}" name="Amount of land newly rehabilitated within the reporting period to the agreed end use (C)(Km2) (2)" dataDxfId="642" totalsRowDxfId="641"/>
    <tableColumn id="5" xr3:uid="{9F09F530-E319-41B6-8076-B24300F14E6A}" name="Total land disturbed and not yet rehabilitated (D= A+B-C; closing balance) (Km2)" dataDxfId="640" totalsRowDxfId="639"/>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A849ABF-F062-4EDF-AACA-EE569495DDA3}" name="Table31" displayName="Table31" ref="A35:I36" totalsRowShown="0" headerRowDxfId="638" dataDxfId="637" tableBorderDxfId="636">
  <autoFilter ref="A35:I36" xr:uid="{EA849ABF-F062-4EDF-AACA-EE569495DDA3}"/>
  <tableColumns count="9">
    <tableColumn id="1" xr3:uid="{B2FAACCB-643B-4A2B-AC07-633B811D6049}" name="Site with protected conservation status or area of endangered species habitat" dataDxfId="635"/>
    <tableColumn id="8" xr3:uid="{58751C3F-3BAD-4A18-BC17-BAF702CE89FD}" name="Geographic location" dataDxfId="634"/>
    <tableColumn id="9" xr3:uid="{850C661B-C5A0-4CC0-80A6-EC7B3700E1EE}" name="Framework" dataDxfId="633"/>
    <tableColumn id="2" xr3:uid="{9E7E59B8-ADD9-4688-9B56-170D3A471FA1}" name="Percentage of proved reserves" dataDxfId="632"/>
    <tableColumn id="3" xr3:uid="{6133C02E-BB7B-4BFB-B07F-A5FC16808AC0}" name="Grade" dataDxfId="631"/>
    <tableColumn id="4" xr3:uid="{71D1D0C3-E723-46C4-A046-D1534BED646A}" name="Percentage of probable reserves" dataDxfId="630"/>
    <tableColumn id="5" xr3:uid="{D6BD88FB-12FC-4CE3-B01F-0FADA6DA98A9}" name="Grade2" dataDxfId="629"/>
    <tableColumn id="6" xr3:uid="{B4BC4729-3F0E-4FDD-B27C-6D3E779E2C27}" name="Reserves present low risk to biodiversity or ecosystem services? (Y/N)" dataDxfId="628"/>
    <tableColumn id="7" xr3:uid="{1F212CF0-66B7-4A57-A0FF-9926AB814A84}" name="If yes, briefly explain why" dataDxfId="627"/>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F016D9A-0FCC-46C5-89E1-B0DAB006992B}" name="Table7" displayName="Table7" ref="A47:D51" totalsRowCount="1" headerRowDxfId="626" dataDxfId="624" totalsRowDxfId="622" headerRowBorderDxfId="625" tableBorderDxfId="623" totalsRowBorderDxfId="621">
  <autoFilter ref="A47:D50" xr:uid="{BF016D9A-0FCC-46C5-89E1-B0DAB006992B}"/>
  <tableColumns count="4">
    <tableColumn id="1" xr3:uid="{C3488037-35B2-45CB-B9FD-149FB065977B}" name="Market-based energy indirect (Scope 2) GHG emissions FY2020-2022  (tCO2-e)" totalsRowLabel="Company" dataDxfId="620" totalsRowDxfId="619"/>
    <tableColumn id="2" xr3:uid="{A34A58CC-AA55-41AE-ADFD-B888DEC4C426}" name="2022" totalsRowFunction="sum" dataDxfId="618" totalsRowDxfId="617">
      <calculatedColumnFormula>#REF!</calculatedColumnFormula>
    </tableColumn>
    <tableColumn id="3" xr3:uid="{EB06F943-C653-4582-A647-17C055AD52AD}" name="2021" totalsRowFunction="sum" dataDxfId="616" totalsRowDxfId="615"/>
    <tableColumn id="4" xr3:uid="{CE27B324-C165-4D22-B13E-D231AC63486D}" name="2020" totalsRowFunction="sum" dataDxfId="614" totalsRowDxfId="613"/>
  </tableColumns>
  <tableStyleInfo name="TableStyleLight12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26D373-198A-4AF6-83EC-9F902B8481D0}" name="Table720" displayName="Table720" ref="A36:D40" totalsRowCount="1" headerRowDxfId="612" dataDxfId="611" totalsRowDxfId="610">
  <autoFilter ref="A36:D39" xr:uid="{6826D373-198A-4AF6-83EC-9F902B8481D0}"/>
  <tableColumns count="4">
    <tableColumn id="1" xr3:uid="{73309758-0E50-49E1-A1A3-30A507816818}" name="Direct (Scope 1) GHG emissions FY2020-2022 (tCO2-e)" totalsRowLabel="Company" dataDxfId="609" totalsRowDxfId="608"/>
    <tableColumn id="2" xr3:uid="{5F55399F-4A5C-48CB-8226-FFEE397CE066}" name="2022" totalsRowFunction="sum" dataDxfId="607" totalsRowDxfId="606">
      <calculatedColumnFormula>#REF!</calculatedColumnFormula>
    </tableColumn>
    <tableColumn id="3" xr3:uid="{FFA9C801-2CB4-4C93-856A-D0EA9821DD0A}" name="2021" totalsRowFunction="sum" dataDxfId="605" totalsRowDxfId="604"/>
    <tableColumn id="4" xr3:uid="{183F6AEE-89AB-4FF6-8064-7B1191357187}" name="2020" totalsRowFunction="sum" dataDxfId="603" totalsRowDxfId="602"/>
  </tableColumns>
  <tableStyleInfo name="TableStyleLight12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7747FCA-A752-4E6B-8710-2209285DD1E1}" name="Table749" displayName="Table749" ref="A56:D60" totalsRowCount="1" headerRowDxfId="601" dataDxfId="600" totalsRowDxfId="598" tableBorderDxfId="599">
  <autoFilter ref="A56:D59" xr:uid="{47747FCA-A752-4E6B-8710-2209285DD1E1}"/>
  <tableColumns count="4">
    <tableColumn id="1" xr3:uid="{0B01F2BA-93BA-44DA-B06F-D03F513F56B1}" name="GHG emissions (Scopes 1 &amp; 2) FY2020-2022  (tCO2-e)" totalsRowLabel="Company" dataDxfId="597" totalsRowDxfId="596"/>
    <tableColumn id="2" xr3:uid="{D797A059-8FC9-4185-9118-9A8D9CBC6D0E}" name="2022" totalsRowFunction="sum" dataDxfId="595" totalsRowDxfId="594">
      <calculatedColumnFormula>B37+B48</calculatedColumnFormula>
    </tableColumn>
    <tableColumn id="3" xr3:uid="{60FBE738-03F9-4925-8F96-442C35D5D5AE}" name="2021" totalsRowFunction="sum" dataDxfId="593" totalsRowDxfId="592">
      <calculatedColumnFormula>C37+C48</calculatedColumnFormula>
    </tableColumn>
    <tableColumn id="4" xr3:uid="{035052A8-10FF-4C7B-AE21-D48E2C9450AE}" name="2020" totalsRowFunction="sum" dataDxfId="591" totalsRowDxfId="590">
      <calculatedColumnFormula>D37+D48</calculatedColumnFormula>
    </tableColumn>
  </tableColumns>
  <tableStyleInfo name="TableStyleLight12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2D797A1C-A74D-4D80-B9E1-ACD99C64432B}" name="Table49" displayName="Table49" ref="A26:D30" totalsRowCount="1" headerRowDxfId="589" dataDxfId="588" totalsRowDxfId="586" tableBorderDxfId="587">
  <autoFilter ref="A26:D29" xr:uid="{2D797A1C-A74D-4D80-B9E1-ACD99C64432B}"/>
  <tableColumns count="4">
    <tableColumn id="1" xr3:uid="{EB3DCBAF-77F9-412D-8CA8-58250B85973F}" name="Energy intensity by site FY2020-2022 (GJ/oz gold produced) " totalsRowLabel="Company" dataDxfId="585" totalsRowDxfId="584"/>
    <tableColumn id="2" xr3:uid="{060FA6A2-821F-42BD-B40A-8000E8DB63F6}" name="2022" totalsRowFunction="custom" dataDxfId="583" totalsRowDxfId="582">
      <totalsRowFormula>B21/Overview!B15</totalsRowFormula>
    </tableColumn>
    <tableColumn id="3" xr3:uid="{94B75F4F-175F-4C69-A2D4-C0A8F23AEE9C}" name="2021" totalsRowFunction="custom" dataDxfId="581" totalsRowDxfId="580">
      <totalsRowFormula>J21/182755</totalsRowFormula>
    </tableColumn>
    <tableColumn id="4" xr3:uid="{55BB3AF0-26B3-41EE-94E5-11F3549C1B93}" name="2020" totalsRowFunction="custom" dataDxfId="579" totalsRowDxfId="578">
      <totalsRowFormula>P21/136009</totalsRowFormula>
    </tableColumn>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B8F7613-49CF-4F4E-AEB6-235D611747F5}" name="Tabla52" displayName="Tabla52" ref="A25:B32" totalsRowShown="0" headerRowDxfId="778" dataDxfId="776" headerRowBorderDxfId="777" tableBorderDxfId="775" totalsRowBorderDxfId="774">
  <autoFilter ref="A25:B32" xr:uid="{EB8F7613-49CF-4F4E-AEB6-235D611747F5}"/>
  <tableColumns count="2">
    <tableColumn id="1" xr3:uid="{6C850948-522B-47EC-9329-01D4FBDAD26D}" name="Voluntary commitments" dataDxfId="773"/>
    <tableColumn id="2" xr3:uid="{D129B39B-6FB3-428D-AC29-E00DA948AC7E}" name="Mission / Objective" dataDxfId="772"/>
  </tableColumns>
  <tableStyleInfo name="TableStyleLight1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F2FAD780-9D48-400C-999A-4225854D84E3}" name="Table50" displayName="Table50" ref="A65:D69" totalsRowCount="1" headerRowDxfId="577" dataDxfId="576" totalsRowDxfId="574" tableBorderDxfId="575">
  <autoFilter ref="A65:D68" xr:uid="{F2FAD780-9D48-400C-999A-4225854D84E3}"/>
  <tableColumns count="4">
    <tableColumn id="1" xr3:uid="{830E24F4-A1C2-4302-A942-2F95458CD483}" name="GHG emissions intensity by site FY2020-2022 (tCO2-e/oz gold produced)" totalsRowLabel="Company" dataDxfId="573" totalsRowDxfId="572"/>
    <tableColumn id="2" xr3:uid="{3CC3898F-1BD8-4D57-98BD-4DF14BBCED6F}" name="2022" totalsRowFunction="custom" dataDxfId="571" totalsRowDxfId="570">
      <totalsRowFormula>Table749[[#Totals],[2022]]/Overview!B15</totalsRowFormula>
    </tableColumn>
    <tableColumn id="3" xr3:uid="{0049932A-EF6D-4EED-B082-9DE5D9757311}" name="2021" totalsRowFunction="custom" dataDxfId="569" totalsRowDxfId="568">
      <totalsRowFormula>Table749[[#Totals],[2021]]/182755</totalsRowFormula>
    </tableColumn>
    <tableColumn id="4" xr3:uid="{C9AA6AD0-CB1E-43D3-8AB6-A0462AB694C8}" name="2020" totalsRowFunction="custom" dataDxfId="567" totalsRowDxfId="566">
      <totalsRowFormula>Table749[[#Totals],[2020]]/136009</totalsRowFormula>
    </tableColumn>
  </tableColumns>
  <tableStyleInfo name="TableStyleLight12 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3DBEEFA-36BC-4DBA-8B11-E2F4D2A5E8A8}" name="Tabla39" displayName="Tabla39" ref="A35:E36" totalsRowShown="0" headerRowDxfId="565" dataDxfId="563" headerRowBorderDxfId="564" tableBorderDxfId="562" totalsRowBorderDxfId="561">
  <autoFilter ref="A35:E36" xr:uid="{E3DBEEFA-36BC-4DBA-8B11-E2F4D2A5E8A8}"/>
  <tableColumns count="5">
    <tableColumn id="1" xr3:uid="{932185DB-6A1B-4D7C-97FE-ACDA06DBD370}" name="Dispute Nature" dataDxfId="560"/>
    <tableColumn id="2" xr3:uid="{79DC0038-1A9A-4F96-94A1-CD461AF9E1A7}" name="Use of Grievance Procedure?" dataDxfId="559"/>
    <tableColumn id="3" xr3:uid="{0B2589BF-8D75-4128-BE5A-D5A6B89AE238}" name="Outcome" dataDxfId="558"/>
    <tableColumn id="4" xr3:uid="{E5810130-CAD6-4A7E-BBC5-4162D1BC748C}" name="Status" dataDxfId="557"/>
    <tableColumn id="5" xr3:uid="{01D9254C-9128-40BE-AFAF-8560FAF7E787}" name="Actions Taken" dataDxfId="556"/>
  </tableColumns>
  <tableStyleInfo name="TableStyleLight1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6E9114-08BB-4CA8-9DB6-20D1ED9E1C53}" name="Tabla3516" displayName="Tabla3516" ref="A4:G7" totalsRowShown="0" headerRowDxfId="555" dataDxfId="554" tableBorderDxfId="553">
  <autoFilter ref="A4:G7" xr:uid="{C06E9114-08BB-4CA8-9DB6-20D1ED9E1C53}"/>
  <tableColumns count="7">
    <tableColumn id="1" xr3:uid="{65F3F2E7-AEE1-45F4-ACE0-BA62AC73163C}" name="Site" dataDxfId="552"/>
    <tableColumn id="2" xr3:uid="{21007298-1754-4F6E-BE68-0D00E24F9914}" name="Does the operation have local community engagement plans? Is it based on SH mapping?" dataDxfId="551"/>
    <tableColumn id="3" xr3:uid="{400B6CA7-873B-4EBF-B14E-8CA79DF2A11D}" name="SIA conducted? Year of last SIA" dataDxfId="550"/>
    <tableColumn id="4" xr3:uid="{F6D00061-7CAF-47CA-84F7-5C1FC7424973}" name="Does the operation have development programs?" dataDxfId="549"/>
    <tableColumn id="5" xr3:uid="{0F029C0B-2929-4E60-97A1-6928CAD0E2A4}" name="Does the operation have formal local community grievance processes?" dataDxfId="548"/>
    <tableColumn id="6" xr3:uid="{AC3FEC5B-800D-4D35-8AC9-D4C857CFA955}" name="Site engages with broad-based local community consultation committees that include vulnerable groups?" dataDxfId="547"/>
    <tableColumn id="7" xr3:uid="{241D22D5-43A7-4238-A205-74BCB26FC63F}" name="Sites engages with worker councils, OH&amp;S committees and other worker representation bodies to manage social impacts?" dataDxfId="546"/>
  </tableColumns>
  <tableStyleInfo name="TableStyleLight1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21FA903-06AB-495A-A7F0-285D671C231C}" name="Tabla3618" displayName="Tabla3618" ref="A12:D14" totalsRowShown="0" headerRowDxfId="545" dataDxfId="544" tableBorderDxfId="543">
  <autoFilter ref="A12:D14" xr:uid="{921FA903-06AB-495A-A7F0-285D671C231C}"/>
  <tableColumns count="4">
    <tableColumn id="1" xr3:uid="{790AB6DD-674E-4ECE-96FF-3CA0CB7319E3}" name="Items" dataDxfId="542"/>
    <tableColumn id="2" xr3:uid="{D8C4CD6D-D802-4A4D-AB2F-8A1357299834}" name="El Limon Complex" dataDxfId="541"/>
    <tableColumn id="3" xr3:uid="{C6F70A3F-CFF9-4805-93F3-7B99462562C1}" name="La Libertad Complex" dataDxfId="540"/>
    <tableColumn id="4" xr3:uid="{65242605-B8EC-43CE-8ADF-BAF955F89EDF}" name="Pan Mine" dataDxfId="539"/>
  </tableColumns>
  <tableStyleInfo name="TableStyleLight1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58C1382-C348-4F88-B7BF-59B5DF5FC311}" name="Table46" displayName="Table46" ref="A28:F29" totalsRowShown="0" headerRowDxfId="538" dataDxfId="537" tableBorderDxfId="536">
  <autoFilter ref="A28:F29" xr:uid="{558C1382-C348-4F88-B7BF-59B5DF5FC311}"/>
  <tableColumns count="6">
    <tableColumn id="1" xr3:uid="{CB8F4345-996E-4DD3-A140-42E3B02C3456}" name="Type of dispute" dataDxfId="535"/>
    <tableColumn id="2" xr3:uid="{BD702423-54DB-4635-B570-15BC73F78AD1}" name="Site" dataDxfId="534"/>
    <tableColumn id="3" xr3:uid="{BF254B29-5CF4-4191-B0B6-9FCA71E2EFF8}" name="Project" dataDxfId="533"/>
    <tableColumn id="4" xr3:uid="{5DC0BDEF-AA4D-4C7C-A135-0D6DEF99B9CA}" name="Description / Nature" dataDxfId="532"/>
    <tableColumn id="5" xr3:uid="{B024550A-8BFD-4786-8CB7-7E5647E24DA6}" name="Location" dataDxfId="531"/>
    <tableColumn id="6" xr3:uid="{74035E5A-3391-43F4-B8D8-E87F57C797C6}" name="Date" dataDxfId="530"/>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557B5-735F-48A4-B722-D8318FDDDEF5}" name="Tabla1" displayName="Tabla1" ref="A4:B13" headerRowCount="0" totalsRowShown="0" headerRowDxfId="529" dataDxfId="528" tableBorderDxfId="527">
  <tableColumns count="2">
    <tableColumn id="1" xr3:uid="{ED48EF6F-A46E-4CBA-B68F-BE311D9AD541}" name="Columna1" headerRowDxfId="526" dataDxfId="525"/>
    <tableColumn id="2" xr3:uid="{053C6132-7535-4E54-9A39-13858F2677F6}" name="Columna2" headerRowDxfId="524" dataDxfId="523"/>
  </tableColumns>
  <tableStyleInfo name="TableStyleLight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A8E071D-29F7-43BF-9C1F-CA05932EF057}" name="Table12" displayName="Table12" ref="A19:P26" totalsRowShown="0" headerRowDxfId="522" dataDxfId="520" headerRowBorderDxfId="521" tableBorderDxfId="519" totalsRowBorderDxfId="518">
  <autoFilter ref="A19:P26" xr:uid="{EA8E071D-29F7-43BF-9C1F-CA05932EF057}"/>
  <tableColumns count="16">
    <tableColumn id="1" xr3:uid="{68EBB482-A232-4095-95A1-D9D63D502C28}" name="Mechanism" dataDxfId="517"/>
    <tableColumn id="20" xr3:uid="{6734230D-D643-41B1-86E7-6F20A0504E7B}" name="Purpose" dataDxfId="516"/>
    <tableColumn id="2" xr3:uid="{9A22EC9B-E734-4FA3-B40C-E1CFB86623EB}" name="Responsibility" dataDxfId="515"/>
    <tableColumn id="3" xr3:uid="{F7301D84-9B3C-4314-BBAD-91C160AF447C}" name="How are stakeholders informed of the mechanism?" dataDxfId="514"/>
    <tableColumn id="4" xr3:uid="{25919686-D22C-4048-9347-11DD384383A2}" name="Intended users" dataDxfId="513"/>
    <tableColumn id="5" xr3:uid="{8263055F-BA43-4C32-8F40-D0F6290F2E56}" name="Availability and accessibility" dataDxfId="512"/>
    <tableColumn id="6" xr3:uid="{BAA8C893-AEE8-4F11-9198-5E756199886A}" name="Available in different languages?" dataDxfId="511"/>
    <tableColumn id="7" xr3:uid="{B2EC1D78-1EBB-4327-96E8-529B86EAA261}" name="Independent?" dataDxfId="510"/>
    <tableColumn id="8" xr3:uid="{723652E0-4F54-413D-BE34-393A97C3B312}" name="Confidential?" dataDxfId="509"/>
    <tableColumn id="9" xr3:uid="{903C7E9D-07F7-4DE2-B21F-035C9E86E46B}" name="Anonymous?" dataDxfId="508"/>
    <tableColumn id="10" xr3:uid="{7EF44068-06F1-4510-97B6-96DBE15F5B8F}" name="Non-retaliation ensured?" dataDxfId="507"/>
    <tableColumn id="14" xr3:uid="{E818822E-47E2-4683-82B8-376E773CAC9D}" name="# Concerns registered" dataDxfId="506"/>
    <tableColumn id="15" xr3:uid="{5614CF61-5BE0-4DB0-9BD7-A84941BF1537}" name="Type of misconduct reported" dataDxfId="505"/>
    <tableColumn id="19" xr3:uid="{3D42C108-AEA0-43B0-AD4B-1D2405B7B40D}" name="% Concerns addressed" dataDxfId="504"/>
    <tableColumn id="16" xr3:uid="{24F32752-B538-4C7B-A2C7-708CF0BA6B15}" name="% Resolved or found unsubstantiated" dataDxfId="503"/>
    <tableColumn id="17" xr3:uid="{F26AA0A9-1A90-4FAD-8C98-A01134F3DE23}" name="Process of investigation" dataDxfId="502"/>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86875F3F-185F-46C4-99E5-A715C9F71AE3}" name="Table128" displayName="Table128" ref="A40:F41" totalsRowShown="0" headerRowDxfId="501" dataDxfId="499" headerRowBorderDxfId="500" tableBorderDxfId="498" totalsRowBorderDxfId="497">
  <autoFilter ref="A40:F41" xr:uid="{86875F3F-185F-46C4-99E5-A715C9F71AE3}"/>
  <tableColumns count="6">
    <tableColumn id="1" xr3:uid="{68C3197B-EAE4-4A91-9DE1-FE6978899485}" name="Governance Bodies" dataDxfId="496"/>
    <tableColumn id="2" xr3:uid="{B678BDF8-89E7-43AF-B34F-123826B25120}" name="Members (#)" dataDxfId="495"/>
    <tableColumn id="3" xr3:uid="{CB30EDBC-3654-4FE3-94B9-10C889265D42}" name="Governance body members that anti-corruption policies and procedures have been communicated to FY2022 (#)" dataDxfId="494"/>
    <tableColumn id="4" xr3:uid="{E9AB3C31-7148-4376-9A56-0017D2A7FA7B}" name="Governance body members that anti-corruption policies and procedures have been communicated to (%)" dataDxfId="493"/>
    <tableColumn id="5" xr3:uid="{A98AC5A7-450F-46F4-9320-C3B5C3A2EAC1}" name="Governance body members that have received training on anti-corruption FY2022 (#)" dataDxfId="492"/>
    <tableColumn id="6" xr3:uid="{7E58E321-499A-4BD8-A09F-DF3D4282D910}" name="Governance body members that have received training on anti-corruption (%)" dataDxfId="491"/>
  </tableColumns>
  <tableStyleInfo name="TableStyleLight12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B346DA82-0786-47CC-9B15-F63DEBD71FD4}" name="Table129" displayName="Table129" ref="A43:F67" totalsRowShown="0" headerRowDxfId="490" dataDxfId="489" tableBorderDxfId="488">
  <autoFilter ref="A43:F67" xr:uid="{B346DA82-0786-47CC-9B15-F63DEBD71FD4}"/>
  <tableColumns count="6">
    <tableColumn id="1" xr3:uid="{9D1ACA53-6D68-414D-B959-240F88CFC773}" name="Employee Category" dataDxfId="487"/>
    <tableColumn id="2" xr3:uid="{CFBB72B9-61CE-43C1-9118-612F665FEDE6}" name="Employees (#)" dataDxfId="486"/>
    <tableColumn id="3" xr3:uid="{41E56CC2-3EBF-4A4E-8CE6-8EBBF01F4F7F}" name="Employees that anti-corruption policies and procedures have been communicated to FY2022 (#)" dataDxfId="485"/>
    <tableColumn id="4" xr3:uid="{09582233-AB71-4648-9C29-14CBDB5A5491}" name="Employees that anti-corruption policies and procedures have been communicated to FY2022 (%)" dataDxfId="484"/>
    <tableColumn id="5" xr3:uid="{56C3C417-FABF-4677-8653-B1395A6D2223}" name="Employees that have received training on anti-corruption FY2022 (#)" dataDxfId="483"/>
    <tableColumn id="6" xr3:uid="{F66FCA24-FEA5-4299-8391-817A0A81BC7B}" name="Employees that have received training on anti-corruption FY2022 (%)" dataDxfId="482"/>
  </tableColumns>
  <tableStyleInfo name="TableStyleLight12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BF578AB1-3BA5-4713-A09E-47664892DE3E}" name="Table130" displayName="Table130" ref="A69:D85" totalsRowShown="0" headerRowDxfId="481" dataDxfId="480" tableBorderDxfId="479">
  <autoFilter ref="A69:D85" xr:uid="{BF578AB1-3BA5-4713-A09E-47664892DE3E}"/>
  <tableColumns count="4">
    <tableColumn id="1" xr3:uid="{D4487E52-B5B7-4F9B-A1F3-5950E7A0ED0A}" name="Country" dataDxfId="478"/>
    <tableColumn id="2" xr3:uid="{59D1B99E-0487-42AC-A909-1607BEA515B0}" name="2022" dataDxfId="477"/>
    <tableColumn id="3" xr3:uid="{AD65B0E3-16CE-4F82-9CDA-D83643D1BDD4}" name="2021" dataDxfId="476"/>
    <tableColumn id="4" xr3:uid="{28CE9895-72E2-4CA1-8D49-959EAFB5E057}" name="2020" dataDxfId="475"/>
  </tableColumns>
  <tableStyleInfo name="TableStyleLight1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5C85F9D-B5C7-4EFB-83F5-4DE1585C7280}" name="Tabla54" displayName="Tabla54" ref="A52:B55" totalsRowShown="0" headerRowDxfId="771" dataDxfId="769" headerRowBorderDxfId="770" tableBorderDxfId="768" totalsRowBorderDxfId="767">
  <autoFilter ref="A52:B55" xr:uid="{55C85F9D-B5C7-4EFB-83F5-4DE1585C7280}"/>
  <tableColumns count="2">
    <tableColumn id="1" xr3:uid="{1AFD32AA-D901-4DBD-97FE-51A468715281}" name="Material topics FY2022" dataDxfId="766"/>
    <tableColumn id="2" xr3:uid="{E7F028C9-92BA-43CC-8E6B-A88F8DBCBFF0}" name="Issues groups within this topic " dataDxfId="765"/>
  </tableColumns>
  <tableStyleInfo name="TableStyleLight1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582B8196-0DE5-4A90-BC33-EC5C2A77945A}" name="Table131" displayName="Table131" ref="A87:D91" totalsRowShown="0" headerRowDxfId="474" dataDxfId="473" tableBorderDxfId="472">
  <autoFilter ref="A87:D91" xr:uid="{582B8196-0DE5-4A90-BC33-EC5C2A77945A}"/>
  <tableColumns count="4">
    <tableColumn id="1" xr3:uid="{A1174A01-CF75-4E00-8FA8-D9979B1961E6}" name="Type " dataDxfId="471"/>
    <tableColumn id="2" xr3:uid="{3E8F4258-FBCD-4EA5-A887-989FCC7C9C2A}" name="Active business partners (#)" dataDxfId="470"/>
    <tableColumn id="3" xr3:uid="{D400AE10-39B2-4153-B94A-7E588D3EAFD1}" name="Active business partners that anti-corruption policies and procedures have been communicated to FY2022 (#)" dataDxfId="469"/>
    <tableColumn id="4" xr3:uid="{B0828F09-F27C-4EF8-8742-7904E87B370D}" name="Active business partners that anti-corruption policies and procedures have been communicated to FY2022 (%)" dataDxfId="468"/>
  </tableColumns>
  <tableStyleInfo name="TableStyleLight12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69377C-D1DF-4E19-AD03-3E1A034F1CE2}" name="Tabla3" displayName="Tabla3" ref="A31:E33" totalsRowShown="0" headerRowDxfId="467" dataDxfId="465" headerRowBorderDxfId="466" tableBorderDxfId="464" totalsRowBorderDxfId="463">
  <autoFilter ref="A31:E33" xr:uid="{DE69377C-D1DF-4E19-AD03-3E1A034F1CE2}"/>
  <tableColumns count="5">
    <tableColumn id="5" xr3:uid="{5C561417-3E51-4A88-A997-5A772A737641}" name="Country" dataDxfId="462"/>
    <tableColumn id="1" xr3:uid="{A5CDF907-DE62-49A9-8DDA-293ECDE1C9C1}" name="Total Entities (#)(1)" dataDxfId="461"/>
    <tableColumn id="2" xr3:uid="{A740012A-D6D3-49F4-8757-5B0D3BF7EA91}" name="Sites Assessed (#)" dataDxfId="460"/>
    <tableColumn id="3" xr3:uid="{5A375E30-4997-460E-9281-3675EBCAE90A}" name="Sites Assessed (%)" dataDxfId="459">
      <calculatedColumnFormula>Tabla3[[#This Row],[Sites Assessed ('#)]]/Tabla3[[#This Row],[Total Entities ('#)(1)]]</calculatedColumnFormula>
    </tableColumn>
    <tableColumn id="4" xr3:uid="{4871E179-C423-4C91-A5B4-2B9A551F00D6}" name="Significant Risks Identified" dataDxfId="458"/>
  </tableColumns>
  <tableStyleInfo name="TableStyleLight1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87C73A-7D6D-4943-9AD7-C1356A3546DC}" name="Tabla9" displayName="Tabla9" ref="A4:D7" totalsRowShown="0" headerRowDxfId="457" dataDxfId="455" headerRowBorderDxfId="456" tableBorderDxfId="454" totalsRowBorderDxfId="453">
  <autoFilter ref="A4:D7" xr:uid="{2287C73A-7D6D-4943-9AD7-C1356A3546DC}"/>
  <tableColumns count="4">
    <tableColumn id="1" xr3:uid="{7029A3CA-EF5D-4858-842B-F7AE1F20329F}" name="Site" dataDxfId="452"/>
    <tableColumn id="2" xr3:uid="{09DF53DF-1C76-46C2-97B8-8A839B8F5218}" name="Policies and practices being implemented?" dataDxfId="451"/>
    <tableColumn id="3" xr3:uid="{52C27987-19E8-409E-BE86-A6C9B6686AD2}" name="Lifecycle stage" dataDxfId="450"/>
    <tableColumn id="4" xr3:uid="{FF3A09CA-7F65-426D-904F-D129DE2646B0}" name="Topics addressed " dataDxfId="449"/>
  </tableColumns>
  <tableStyleInfo name="TableStyleLight1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E757CB9-8A7B-45C9-A32F-71806B530FDF}" name="Tabla269" displayName="Tabla269" ref="A4:H12" totalsRowShown="0" headerRowDxfId="448" dataDxfId="446" headerRowBorderDxfId="447" tableBorderDxfId="445" totalsRowBorderDxfId="444">
  <autoFilter ref="A4:H12" xr:uid="{4E757CB9-8A7B-45C9-A32F-71806B530FDF}"/>
  <tableColumns count="8">
    <tableColumn id="1" xr3:uid="{303DE080-509B-46F5-9DC2-61421A999DC5}" name="Type of training" dataDxfId="443"/>
    <tableColumn id="2" xr3:uid="{4A7D8D92-6C4B-404D-8DB6-190D16D9B7BC}" name="Topics" dataDxfId="442"/>
    <tableColumn id="9" xr3:uid="{0EC0B578-628F-4A2C-A7BB-5C3F397D5FD6}" name="Number of training hours provided to its workforce" dataDxfId="441"/>
    <tableColumn id="10" xr3:uid="{E0763259-C2A2-447E-9ABC-92E7DF9BB3A9}" name="People trained FY2022 (#)" dataDxfId="440">
      <calculatedColumnFormula>SUM(D6+D10)</calculatedColumnFormula>
    </tableColumn>
    <tableColumn id="11" xr3:uid="{11F92AD0-7447-4E82-8D37-05847C295DAD}" name="People trained FY2021 (#)" dataDxfId="439"/>
    <tableColumn id="7" xr3:uid="{992CEC3F-5390-4D94-9382-A4BD27D368A1}" name="People trained FY2020 (#)" dataDxfId="438"/>
    <tableColumn id="4" xr3:uid="{70007B64-6280-41E7-AFA6-B79374B4AEB5}" name="Frequency of Training" dataDxfId="437"/>
    <tableColumn id="6" xr3:uid="{83A3D84C-7C1B-4D82-865E-025EC019B659}" name="Mandatory?" dataDxfId="436"/>
  </tableColumns>
  <tableStyleInfo name="TableStyleLight1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1359B82-0785-42EC-97E2-E01467E43F4D}" name="Table87" displayName="Table87" ref="A18:D27" totalsRowShown="0" headerRowDxfId="435" dataDxfId="433" headerRowBorderDxfId="434" tableBorderDxfId="432" totalsRowBorderDxfId="431">
  <autoFilter ref="A18:D27" xr:uid="{61359B82-0785-42EC-97E2-E01467E43F4D}"/>
  <tableColumns count="4">
    <tableColumn id="1" xr3:uid="{D237D8F1-3DF8-4155-8474-6F5F38CF1A0A}" name="Workers covered by an occupational H&amp;S management system FY2022" dataDxfId="430"/>
    <tableColumn id="2" xr3:uid="{693DDF6B-5293-4CA9-94F2-FAC0D7319ACF}" name="Nicaragua" dataDxfId="429"/>
    <tableColumn id="5" xr3:uid="{8616EE17-3089-4343-BDF8-B139F7A71942}" name="United States" dataDxfId="428"/>
    <tableColumn id="6" xr3:uid="{5FB466B3-A245-446E-866C-16A8C449983C}" name="Company" dataDxfId="427"/>
  </tableColumns>
  <tableStyleInfo name="TableStyleLight1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3662F29-726F-4D7A-939A-1C0D3FEDE5A2}" name="Tabla2823" displayName="Tabla2823" ref="A33:L37" totalsRowCount="1" headerRowDxfId="426" dataDxfId="425" totalsRowDxfId="423" tableBorderDxfId="424" totalsRowCellStyle="Total">
  <autoFilter ref="A33:L36" xr:uid="{33662F29-726F-4D7A-939A-1C0D3FEDE5A2}"/>
  <tableColumns count="12">
    <tableColumn id="1" xr3:uid="{13A63904-E7FA-43BA-80B9-0A5AD361AAC2}" name="Site" totalsRowLabel="Company" dataDxfId="422" totalsRowDxfId="421"/>
    <tableColumn id="2" xr3:uid="{F3D614F9-3BD2-4E12-BA16-7E2C870F94D0}" name="Fatalities (#)" totalsRowFunction="sum" dataDxfId="420" totalsRowDxfId="419"/>
    <tableColumn id="3" xr3:uid="{AF26837E-DFA8-4092-B8BA-6849E4B9AE6D}" name="Fatalities (Rate)" totalsRowFunction="sum" dataDxfId="418" totalsRowDxfId="417"/>
    <tableColumn id="4" xr3:uid="{31C0B16D-B3BF-4101-BE4D-AE87E1593373}" name="High-consequence Work-related Injuries (#)" totalsRowFunction="sum" dataDxfId="416" totalsRowDxfId="415"/>
    <tableColumn id="5" xr3:uid="{9DBDBE5E-AC7A-4A8C-9766-B6B59468ED49}" name="High-consequence Work-related Injuries (Rate)(1)" totalsRowFunction="sum" dataDxfId="414" totalsRowDxfId="413"/>
    <tableColumn id="6" xr3:uid="{13ACE21A-1923-45F4-8BD6-D402A150A777}" name="Recordable Work-related Injuries (#)" totalsRowFunction="sum" dataDxfId="412" totalsRowDxfId="411"/>
    <tableColumn id="7" xr3:uid="{81E7BF8A-DA23-439B-8F44-8257CFB70F84}" name="Recordable Work-related Injuries (Rate)(2)" totalsRowFunction="average" dataDxfId="410" totalsRowDxfId="409">
      <calculatedColumnFormula>(Tabla2823[[#This Row],[Recordable Work-related Injuries ('#)]]*200000)/Tabla2823[[#This Row],[Hours Worked ('#)]]</calculatedColumnFormula>
    </tableColumn>
    <tableColumn id="8" xr3:uid="{E30798F9-CA7C-4DFC-B183-A6E8B7F2C6F4}" name="Main Types of Work-related Injury" dataDxfId="408" totalsRowDxfId="407"/>
    <tableColumn id="10" xr3:uid="{2872427A-F853-4846-8416-CA2A39103C98}" name="High-potential Work-related Incidents Identified (#)" totalsRowFunction="sum" dataDxfId="406" totalsRowDxfId="405"/>
    <tableColumn id="11" xr3:uid="{1AC64C5D-B68B-4E52-AFFA-7AC22BA76594}" name="Close Calls Identified (#)" totalsRowFunction="sum" dataDxfId="404" totalsRowDxfId="403"/>
    <tableColumn id="13" xr3:uid="{5D106736-C14B-4C8D-8951-6A2551393A87}" name="Near miss frequency rate (NMFR) (3)" dataDxfId="402" totalsRowDxfId="401"/>
    <tableColumn id="12" xr3:uid="{B9B64D84-C0DB-462D-894A-A076586BC7EF}" name="Hours Worked (#)" totalsRowFunction="sum" dataDxfId="400" totalsRowDxfId="399"/>
  </tableColumns>
  <tableStyleInfo name="TableStyleLight1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E99B854-BDA1-4FBC-A752-AA1C91263A02}" name="Tabla2977" displayName="Tabla2977" ref="A43:L47" totalsRowCount="1" headerRowDxfId="398" dataDxfId="397" totalsRowDxfId="396" totalsRowBorderDxfId="395" totalsRowCellStyle="Total">
  <autoFilter ref="A43:L46" xr:uid="{8E99B854-BDA1-4FBC-A752-AA1C91263A02}"/>
  <tableColumns count="12">
    <tableColumn id="1" xr3:uid="{1806BEC8-6666-4CE9-9089-10A8C6C16142}" name="Site" totalsRowLabel="Company" dataDxfId="394" totalsRowDxfId="393"/>
    <tableColumn id="2" xr3:uid="{F9FFD414-CBA7-4814-9EAD-7B5DBB780ED9}" name="Fatalities (#)" totalsRowFunction="sum" dataDxfId="392" totalsRowDxfId="391"/>
    <tableColumn id="3" xr3:uid="{DFE22E23-8083-4755-A85A-E94571E7929F}" name="Fatalities (Rate)" totalsRowFunction="sum" dataDxfId="390" totalsRowDxfId="389"/>
    <tableColumn id="4" xr3:uid="{4247428F-C60E-4B20-ADB7-176FF2D6B549}" name="High-consequence Work-related Injuries (#)" totalsRowFunction="sum" dataDxfId="388" totalsRowDxfId="387"/>
    <tableColumn id="5" xr3:uid="{BCF7556C-C082-4FFB-8A39-E728E6239F6A}" name="High-consequence Work-related Injuries (Rate)(1)" totalsRowFunction="sum" dataDxfId="386" totalsRowDxfId="385"/>
    <tableColumn id="6" xr3:uid="{4BC1A9F8-C611-4F5E-847B-82F4994CE5B9}" name="Recordable Work-related Injuries (#)" totalsRowFunction="sum" dataDxfId="384" totalsRowDxfId="383"/>
    <tableColumn id="7" xr3:uid="{FECCAD15-FC07-49B0-9ED8-67CD73CF993B}" name="Recordable Work-related Injuries (Rate)(2)" totalsRowFunction="sum" dataDxfId="382" totalsRowDxfId="381"/>
    <tableColumn id="8" xr3:uid="{45013A34-6DEF-43A9-9A26-6922FDFB1D27}" name="Main Types of Work-related Injury" dataDxfId="380" totalsRowDxfId="379"/>
    <tableColumn id="9" xr3:uid="{88646D83-E2AF-4FFF-A342-6F8C5E0E34BC}" name="High-potential Work-related Incidents Identified (#)" totalsRowFunction="sum" dataDxfId="378" totalsRowDxfId="377"/>
    <tableColumn id="10" xr3:uid="{8A756516-B68A-44BD-895B-DDA7808A6FC8}" name="Close Calls Identified (#)" totalsRowFunction="sum" dataDxfId="376" totalsRowDxfId="375"/>
    <tableColumn id="12" xr3:uid="{2CACE285-52C4-4B50-A88E-25F70EF45B15}" name="Near miss frequency rate (NMFR) (3)" dataDxfId="374" totalsRowDxfId="373"/>
    <tableColumn id="11" xr3:uid="{CBBAAD57-1724-4F1A-B963-AA6830BCF735}" name="Hours Worked (#)" totalsRowFunction="sum" dataDxfId="372" totalsRowDxfId="371"/>
  </tableColumns>
  <tableStyleInfo name="TableStyleLight1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FF0FD81-AD7F-4558-BDDB-2785B1BDA7FD}" name="Tabla3228" displayName="Tabla3228" ref="A62:H65" totalsRowShown="0" headerRowDxfId="370" dataDxfId="369" tableBorderDxfId="368">
  <autoFilter ref="A62:H65" xr:uid="{6FF0FD81-AD7F-4558-BDDB-2785B1BDA7FD}"/>
  <tableColumns count="8">
    <tableColumn id="1" xr3:uid="{6F42A58A-C837-47E2-811F-8B96E68442B8}" name="Site" dataDxfId="367"/>
    <tableColumn id="2" xr3:uid="{0AB6A98D-321F-405C-91BB-9B8EA2204D04}" name="Fatalities as a result of work-related ill health (#)" dataDxfId="366"/>
    <tableColumn id="3" xr3:uid="{1C3DB669-03E7-478E-8C23-AA0147240CFF}" name="Cases of Recordable Work-related Ill Health (#)" dataDxfId="365"/>
    <tableColumn id="4" xr3:uid="{6EE47F2E-04C3-4C51-BF25-285A93CA974A}" name="Main Types of Work-related Ill Health (1)" dataDxfId="364"/>
    <tableColumn id="5" xr3:uid="{3B2E27BE-F74F-4BB0-A5AA-C572A378016B}" name="Work-related hazards that pose a risk of ill health" dataDxfId="363"/>
    <tableColumn id="6" xr3:uid="{8F5BEAFA-2D0D-468D-9C92-7BDC7BC4949C}" name="How these hazards have been determined" dataDxfId="362"/>
    <tableColumn id="7" xr3:uid="{B9801111-791A-4014-A3E2-77D28C36A1ED}" name="Hazards that have caused or contributed to cases of ill health" dataDxfId="361"/>
    <tableColumn id="8" xr3:uid="{D0C2E852-F5AA-4B10-9DB4-73355337493B}" name="Actions taken or underway to eliminate or minimize these using hierarchy of controls" dataDxfId="360"/>
  </tableColumns>
  <tableStyleInfo name="TableStyleLight1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28B90DE-2AEC-4BD8-924E-37382429DCBB}" name="Tabla3329" displayName="Tabla3329" ref="A69:H72" totalsRowShown="0" headerRowDxfId="359" dataDxfId="358" tableBorderDxfId="357">
  <autoFilter ref="A69:H72" xr:uid="{228B90DE-2AEC-4BD8-924E-37382429DCBB}"/>
  <tableColumns count="8">
    <tableColumn id="1" xr3:uid="{F79FCB25-537D-4351-B8CC-8AB9C7C6A468}" name="Site" dataDxfId="356"/>
    <tableColumn id="3" xr3:uid="{008E82E6-79BE-4C03-80BE-E7605FE61F1D}" name="Fatalities as a result of work-related ill health (#)" dataDxfId="355"/>
    <tableColumn id="4" xr3:uid="{445C7E3B-B239-4B82-AC8B-3C4A782A4927}" name="Cases of Recordable Work-related Ill Health (#)" dataDxfId="354"/>
    <tableColumn id="2" xr3:uid="{59B6DBBC-746F-4AE8-9EE9-DDA19E962056}" name="Main Types of Work-related Ill Health (1)" dataDxfId="353"/>
    <tableColumn id="5" xr3:uid="{70DDADAB-8B50-40F5-8AA7-DC41148A30FB}" name="Work-related hazards that pose a risk of ill health" dataDxfId="352"/>
    <tableColumn id="6" xr3:uid="{1B123172-411F-42DF-89D8-E9CD3A401676}" name="How these hazards have been determined" dataDxfId="351"/>
    <tableColumn id="7" xr3:uid="{C6B8CBFA-67E2-41A5-B071-EDBAAADFFFE6}" name="Hazards that have caused or contributed to cases of ill health" dataDxfId="350"/>
    <tableColumn id="8" xr3:uid="{6B66C407-14F9-4877-BC9E-1B66B89CABF5}" name="Actions taken or underway to eliminate or minimize these using hierarchy of controls" dataDxfId="349"/>
  </tableColumns>
  <tableStyleInfo name="TableStyleLight1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9D9330A-5134-4832-A3C7-29751207630F}" name="Table78" displayName="Table78" ref="A78:D106" totalsRowShown="0" headerRowDxfId="348" dataDxfId="347" tableBorderDxfId="346">
  <autoFilter ref="A78:D106" xr:uid="{79D9330A-5134-4832-A3C7-29751207630F}"/>
  <tableColumns count="4">
    <tableColumn id="1" xr3:uid="{E3326FF8-FC19-4AD5-8F01-A59C3F02CB7A}" name="Site" dataDxfId="345"/>
    <tableColumn id="4" xr3:uid="{CC892B87-075F-4217-8F8A-3339803350D0}" name="2022" dataDxfId="344">
      <calculatedColumnFormula>SUM(B86+B93+B100)</calculatedColumnFormula>
    </tableColumn>
    <tableColumn id="5" xr3:uid="{FBBECBD8-B757-4881-88B9-024374FA2F78}" name="2021" dataDxfId="343"/>
    <tableColumn id="6" xr3:uid="{64AB7B4B-DAE6-490E-806C-79A1459C2728}" name="2020" dataDxfId="342"/>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AD6609A-2BFF-404E-B6BB-1AFE8D2577C0}" name="Table2" displayName="Table2" ref="A4:D7" totalsRowShown="0" headerRowDxfId="764" dataDxfId="762" headerRowBorderDxfId="763" tableBorderDxfId="761" totalsRowBorderDxfId="760">
  <autoFilter ref="A4:D7" xr:uid="{CAD6609A-2BFF-404E-B6BB-1AFE8D2577C0}"/>
  <tableColumns count="4">
    <tableColumn id="4" xr3:uid="{0F569349-441D-43ED-90E8-E7F95F7AA804}" name="Material mineral properties included in this report" dataDxfId="759"/>
    <tableColumn id="5" xr3:uid="{81AE3C0C-5A79-4BF4-96FC-9619EA21CD2A}" name="Associated operations" dataDxfId="758"/>
    <tableColumn id="3" xr3:uid="{4A5D74AC-43E8-4A98-AC98-CBD10AF722C2}" name="% Ownership" dataDxfId="757"/>
    <tableColumn id="8" xr3:uid="{92DDA17D-513A-4D94-BC41-0BF71CAC083B}" name="Location" dataDxfId="756"/>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B2E8017-3D4B-4565-9F9B-02FFC9EDE5D1}" name="Table68" displayName="Table68" ref="A75:E78" totalsRowShown="0" headerRowDxfId="341" dataDxfId="339" headerRowBorderDxfId="340" tableBorderDxfId="338" totalsRowBorderDxfId="337">
  <autoFilter ref="A75:E78" xr:uid="{5B2E8017-3D4B-4565-9F9B-02FFC9EDE5D1}"/>
  <tableColumns count="5">
    <tableColumn id="1" xr3:uid="{6FEA0F27-B575-41E2-852B-F039A9CA8D80}" name="Contractors by country FY2022 (#)" dataDxfId="336"/>
    <tableColumn id="2" xr3:uid="{FD5E505F-89C6-4940-8D0B-AE01741B27A9}" name="Local - Community (1)" dataDxfId="335">
      <calculatedColumnFormula>SUM(B77:B78)</calculatedColumnFormula>
    </tableColumn>
    <tableColumn id="3" xr3:uid="{DEBC96CB-0452-4F71-A5EE-9B4E54817000}" name="Local - Country (2)" dataDxfId="334"/>
    <tableColumn id="4" xr3:uid="{7320F992-1471-4F36-B308-CBB49B03489E}" name="Foreign" dataDxfId="333"/>
    <tableColumn id="5" xr3:uid="{646F0E4B-A130-4D17-8A7D-14B9406A6FFD}" name="Total" dataDxfId="332">
      <calculatedColumnFormula>SUM(Table68[[#This Row],[Local - Community (1)]:[Foreign]])</calculatedColumnFormula>
    </tableColumn>
  </tableColumns>
  <tableStyleInfo name="TableStyleLight1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FDF111B-BF80-47DA-A49E-ACDB2D7C3EB5}" name="Table69" displayName="Table69" ref="H75:K78" totalsRowShown="0" headerRowDxfId="331" dataDxfId="330" tableBorderDxfId="329">
  <autoFilter ref="H75:K78" xr:uid="{0FDF111B-BF80-47DA-A49E-ACDB2D7C3EB5}"/>
  <tableColumns count="4">
    <tableColumn id="1" xr3:uid="{12A24F65-DF10-4FE5-A94C-9E8B0DC3C68B}" name="Contractors by country FY2022 (#)" dataDxfId="328"/>
    <tableColumn id="2" xr3:uid="{867FFB46-6FB3-41AA-BADE-4076261B4763}" name="Man" dataDxfId="327">
      <calculatedColumnFormula>SUM(I77:I78)</calculatedColumnFormula>
    </tableColumn>
    <tableColumn id="3" xr3:uid="{B2405268-F133-4873-BE21-C877FAA9C0A4}" name="Woman" dataDxfId="326"/>
    <tableColumn id="4" xr3:uid="{704525DF-3EF4-47C4-98F3-F7966366FF22}" name="Total" dataDxfId="325">
      <calculatedColumnFormula>SUM(Table69[[#This Row],[Man]:[Woman]])</calculatedColumnFormula>
    </tableColumn>
  </tableColumns>
  <tableStyleInfo name="TableStyleLight1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11A37CB-F3A8-4FAF-B801-FE0A47384B92}" name="Table52616257" displayName="Table52616257" ref="A81:D93" totalsRowShown="0" headerRowDxfId="324" dataDxfId="323" tableBorderDxfId="322">
  <autoFilter ref="A81:D93" xr:uid="{C11A37CB-F3A8-4FAF-B801-FE0A47384B92}"/>
  <tableColumns count="4">
    <tableColumn id="1" xr3:uid="{DBEEFF2A-9EF9-473D-8F71-6A0A5C2526A1}" name="Contractors by country FY2020-2022" dataDxfId="321" totalsRowDxfId="320"/>
    <tableColumn id="2" xr3:uid="{F8338E37-5CF0-4248-A7E3-F1B6CA954972}" name="2022" dataDxfId="319" totalsRowDxfId="318"/>
    <tableColumn id="3" xr3:uid="{D06649C0-AF32-4900-8581-65A0F495D2DA}" name="2021" dataDxfId="317" totalsRowDxfId="316"/>
    <tableColumn id="4" xr3:uid="{F895744B-72FA-4E8C-81B7-BCE499ECEA74}" name="2020" dataDxfId="315" totalsRowDxfId="314"/>
  </tableColumns>
  <tableStyleInfo name="TableStyleLight1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470C10D3-6A97-4A38-88C1-F385DC7B2A95}" name="Table5261625775" displayName="Table5261625775" ref="H81:K90" totalsRowShown="0" headerRowDxfId="313" dataDxfId="312" tableBorderDxfId="311">
  <autoFilter ref="H81:K90" xr:uid="{470C10D3-6A97-4A38-88C1-F385DC7B2A95}"/>
  <tableColumns count="4">
    <tableColumn id="1" xr3:uid="{C3F5AC4C-1E36-43D2-9473-D164C44369FF}" name="Contractors by country FY 2020-2022" dataDxfId="310" totalsRowDxfId="309"/>
    <tableColumn id="2" xr3:uid="{67DCDA89-82C6-4831-A5F9-A3A1EB98C2BC}" name="2022" dataDxfId="308" totalsRowDxfId="307"/>
    <tableColumn id="3" xr3:uid="{7FAFB941-D828-43E4-BA8A-DCB69E63FD45}" name="2021" dataDxfId="306" totalsRowDxfId="305"/>
    <tableColumn id="4" xr3:uid="{E6DDEE4D-E3F0-4DE5-AEC3-5C02A84000AD}" name="2020" dataDxfId="304" totalsRowDxfId="303"/>
  </tableColumns>
  <tableStyleInfo name="TableStyleLight1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3A2486B-75FE-4968-9F02-774C0C06144C}" name="Table47" displayName="Table47" ref="A98:D141" totalsRowShown="0" headerRowDxfId="302" dataDxfId="300" headerRowBorderDxfId="301" tableBorderDxfId="299" totalsRowBorderDxfId="298">
  <autoFilter ref="A98:D141" xr:uid="{C3A2486B-75FE-4968-9F02-774C0C06144C}"/>
  <tableColumns count="4">
    <tableColumn id="1" xr3:uid="{1F5F7585-4FB4-49CD-813E-BEC9F362BE94}" name="New employee hires for year end 2022" dataDxfId="297"/>
    <tableColumn id="2" xr3:uid="{DA359D09-4141-4D7F-A559-B61623ABABD8}" name="Company" dataDxfId="296"/>
    <tableColumn id="3" xr3:uid="{878F141D-B34B-4D29-9205-10F9B3E20836}" name="Nicaragua" dataDxfId="295"/>
    <tableColumn id="4" xr3:uid="{FBEE1390-715C-494C-BE41-05FBC479A697}" name="United States" dataDxfId="294"/>
  </tableColumns>
  <tableStyleInfo name="TableStyleLight1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90B4FAE3-836F-4129-BC96-2B9FCCB1FAF5}" name="Table59" displayName="Table59" ref="A191:C193" totalsRowShown="0" headerRowDxfId="293" dataDxfId="292" tableBorderDxfId="291">
  <autoFilter ref="A191:C193" xr:uid="{90B4FAE3-836F-4129-BC96-2B9FCCB1FAF5}"/>
  <tableColumns count="3">
    <tableColumn id="1" xr3:uid="{2803CBAF-3BD0-4CA9-BECD-3ECC2C4707D3}" name="Average hours of training FY2021-2022" dataDxfId="290"/>
    <tableColumn id="3" xr3:uid="{BD52AD8D-BBEB-4552-B119-3F91B00B11BC}" name="FY2022" dataDxfId="289">
      <calculatedColumnFormula>B188</calculatedColumnFormula>
    </tableColumn>
    <tableColumn id="4" xr3:uid="{EC583A03-BE53-46ED-81AD-7BA7B895B1D3}" name="FY2021" dataDxfId="288"/>
  </tableColumns>
  <tableStyleInfo name="TableStyleLight1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754BC899-2B58-4C3B-8D59-3075B56C3118}" name="Tabla4248" displayName="Tabla4248" ref="A226:E250" headerRowDxfId="287" dataDxfId="285" totalsRowDxfId="283" headerRowBorderDxfId="286" tableBorderDxfId="284">
  <autoFilter ref="A226:E250" xr:uid="{754BC899-2B58-4C3B-8D59-3075B56C3118}"/>
  <tableColumns count="5">
    <tableColumn id="1" xr3:uid="{BDA4CA8C-90CE-49C9-945A-5AD94935378E}" name="Employees per age group, per category, FY2022" totalsRowLabel="Canada - Corporate" dataDxfId="282" totalsRowDxfId="281"/>
    <tableColumn id="2" xr3:uid="{EE1396C9-C268-4AAE-9246-B39241F406BD}" name="&lt; 30 (#)" dataDxfId="280" totalsRowDxfId="279"/>
    <tableColumn id="4" xr3:uid="{67667B06-EBE3-47D3-9CDD-13D664C9A41C}" name="30 to 50 (#)" dataDxfId="278" totalsRowDxfId="277"/>
    <tableColumn id="6" xr3:uid="{239DCBAF-94E1-412E-9812-310D3F2D55FD}" name="51+ (#)" dataDxfId="276" totalsRowDxfId="275"/>
    <tableColumn id="8" xr3:uid="{52A14D5F-437C-4102-B5C7-CB38849AB832}" name="Total number of employees" dataDxfId="274" totalsRowDxfId="273">
      <calculatedColumnFormula>SUM(Tabla4248[[#This Row],[&lt; 30 ('#)]]+Tabla4248[[#This Row],[30 to 50 ('#)]]+Tabla4248[[#This Row],[51+ ('#)]])</calculatedColumnFormula>
    </tableColumn>
  </tableColumns>
  <tableStyleInfo name="TableStyleLight1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ADDE70DB-512A-4CF9-82F5-56CA9E6D15F0}" name="Table58" displayName="Table58" ref="A255:D262" totalsRowShown="0" headerRowDxfId="272" dataDxfId="271" tableBorderDxfId="270">
  <autoFilter ref="A255:D262" xr:uid="{ADDE70DB-512A-4CF9-82F5-56CA9E6D15F0}"/>
  <tableColumns count="4">
    <tableColumn id="1" xr3:uid="{D98D9397-1BDF-4A85-B566-6D03E53F1F72}" name="Ratio of basic salary and remuneration of women to men (%)" dataDxfId="269"/>
    <tableColumn id="2" xr3:uid="{F11FA1FC-644F-45CB-8F7B-D5F3C0FE784C}" name="Corporate offices" dataDxfId="268"/>
    <tableColumn id="3" xr3:uid="{6339DFE0-6760-4A29-A41D-B53A576CFD8D}" name="Nicaragua" dataDxfId="267"/>
    <tableColumn id="4" xr3:uid="{86A11ECE-7344-4EAF-9407-57A41518C589}" name="United States" dataDxfId="266"/>
  </tableColumns>
  <tableStyleInfo name="TableStyleLight1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C2D4E97-1AE9-4976-9AC1-70D8AA9342F6}" name="Tabla4967" displayName="Tabla4967" ref="A268:D272" totalsRowCount="1" headerRowDxfId="265" dataDxfId="264" totalsRowDxfId="262" tableBorderDxfId="263">
  <autoFilter ref="A268:D271" xr:uid="{BC2D4E97-1AE9-4976-9AC1-70D8AA9342F6}"/>
  <tableColumns count="4">
    <tableColumn id="4" xr3:uid="{C2652462-5E53-4784-818A-37D96B31248B}" name="Country" totalsRowLabel="Company" dataDxfId="261" totalsRowDxfId="260"/>
    <tableColumn id="1" xr3:uid="{4E343413-D601-4E8F-8E7B-7A801E46A4F8}" name="Total # employees by Year End 2022" totalsRowFunction="sum" dataDxfId="259" totalsRowDxfId="258"/>
    <tableColumn id="2" xr3:uid="{2F471DDE-3101-4F5F-A746-65409EAB6BFA}" name="# Employees covered by collective agreements" totalsRowFunction="sum" dataDxfId="257" totalsRowDxfId="256"/>
    <tableColumn id="3" xr3:uid="{8C72D1EB-27BF-4964-A9D6-F9705797B2F7}" name="% of employees covered by collective agreements" totalsRowFunction="custom" dataDxfId="255" totalsRowDxfId="254">
      <calculatedColumnFormula>Tabla4967[[#This Row],['# Employees covered by collective agreements]]/Tabla4967[[#This Row],[Total '# employees by Year End 2022]]</calculatedColumnFormula>
      <totalsRowFormula>Tabla4967[[#Totals],['# Employees covered by collective agreements]]/Tabla4967[[#Totals],[Total '# employees by Year End 2022]]</totalsRowFormula>
    </tableColumn>
  </tableColumns>
  <tableStyleInfo name="TableStyleLight1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26E4CD59-37CF-4A1F-B1F9-A4F613197FA9}" name="Tabla56" displayName="Tabla56" ref="A34:F37" totalsRowCount="1" headerRowDxfId="253" dataDxfId="251" totalsRowDxfId="249" headerRowBorderDxfId="252" tableBorderDxfId="250" totalsRowBorderDxfId="248">
  <autoFilter ref="A34:F36" xr:uid="{26E4CD59-37CF-4A1F-B1F9-A4F613197FA9}"/>
  <tableColumns count="6">
    <tableColumn id="7" xr3:uid="{1918F00B-FAEC-4F15-AAEC-60825B7F8D22}" name="Country" totalsRowLabel="Company" dataDxfId="247" totalsRowDxfId="246"/>
    <tableColumn id="1" xr3:uid="{89C087C7-4744-4A24-80C5-98582EAA5181}" name="Contractor workforce FY2022 (#) [Workers who are not employees]" totalsRowFunction="sum" dataDxfId="245" totalsRowDxfId="244"/>
    <tableColumn id="2" xr3:uid="{5C7E8A03-3626-486B-991B-9E8B295DF397}" name="Contractor workforce trained (#)(1)" totalsRowFunction="sum" dataDxfId="243" totalsRowDxfId="242"/>
    <tableColumn id="3" xr3:uid="{D264983C-C388-4586-B642-7981BD00DDA4}" name="Training hours provided (#)" totalsRowFunction="sum" dataDxfId="241" totalsRowDxfId="240"/>
    <tableColumn id="4" xr3:uid="{FC13B613-7176-4C5A-8956-A0EE8345DE6F}" name="Average training hours per contractor worker" totalsRowFunction="custom" dataDxfId="239" totalsRowDxfId="238">
      <totalsRowFormula>Tabla56[[#Totals],[Training hours provided ('#)]]/Tabla56[[#Totals],[Contractor workforce FY2022 ('#) '[Workers who are not employees']]]</totalsRowFormula>
    </tableColumn>
    <tableColumn id="6" xr3:uid="{E2527CBF-C616-47A1-B469-3CC245B34885}" name="Topic(s)" dataDxfId="237" totalsRowDxfId="236"/>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924423-2055-40BE-B88C-54F993E059AB}" name="Table82" displayName="Table82" ref="A13:E15" totalsRowShown="0" headerRowDxfId="755" dataDxfId="753" headerRowBorderDxfId="754" tableBorderDxfId="752" totalsRowBorderDxfId="751">
  <autoFilter ref="A13:E15" xr:uid="{3C924423-2055-40BE-B88C-54F993E059AB}"/>
  <tableColumns count="5">
    <tableColumn id="1" xr3:uid="{528D2AFA-7DCF-4142-BF55-BD5593B3F5B3}" name="Production of metal ores FY2022" dataDxfId="750"/>
    <tableColumn id="2" xr3:uid="{80660A7F-9E5B-411F-91E9-9005FD3EE8D2}" name="Company" dataDxfId="749">
      <calculatedColumnFormula>SUM(Table82[[#This Row],[El Limon Complex]:[Pan Mine]])</calculatedColumnFormula>
    </tableColumn>
    <tableColumn id="3" xr3:uid="{1F57702E-818E-4068-A16F-8F71A8D8B915}" name="El Limon Complex" dataDxfId="748"/>
    <tableColumn id="4" xr3:uid="{4A7531BE-FD20-41D9-AB31-56868AE320FA}" name="La Libertad Complex" dataDxfId="747"/>
    <tableColumn id="5" xr3:uid="{52B22E33-24B1-4AE1-9738-25674708C7B2}" name="Pan Mine" dataDxfId="746"/>
  </tableColumns>
  <tableStyleInfo name="TableStyleLight1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4709F95-1851-446E-8C7E-BAE77B5505E4}" name="Table289" displayName="Table289" ref="A4:D8" totalsRowCount="1" headerRowDxfId="235" dataDxfId="233" totalsRowDxfId="231" headerRowBorderDxfId="234" tableBorderDxfId="232" totalsRowBorderDxfId="230">
  <autoFilter ref="A4:D7" xr:uid="{04709F95-1851-446E-8C7E-BAE77B5505E4}"/>
  <tableColumns count="4">
    <tableColumn id="5" xr3:uid="{DF3CBA37-7E71-4B14-BEB5-878A5D0E21AA}" name="Site" totalsRowLabel="Company" dataDxfId="229" totalsRowDxfId="228"/>
    <tableColumn id="1" xr3:uid="{2DED3250-6F08-42BF-BEF9-E005C3FC6580}" name="New suppliers FY2022 (#)" totalsRowFunction="sum" dataDxfId="227" totalsRowDxfId="226"/>
    <tableColumn id="2" xr3:uid="{71D398E8-9F84-4A14-A3EB-D4FE78170E19}" name="New suppliers screened using environmental criteria (#)" totalsRowFunction="sum" dataDxfId="225" totalsRowDxfId="224"/>
    <tableColumn id="3" xr3:uid="{7BB1426D-E59E-48C4-99FF-1BDF3CC109CA}" name="New suppliers screened using environmental criteria (%)" totalsRowFunction="custom" dataDxfId="223" totalsRowDxfId="222">
      <calculatedColumnFormula>Table289[[#This Row],[New suppliers screened using environmental criteria ('#)]]/Table289[[#This Row],[New suppliers FY2022 ('#)]]</calculatedColumnFormula>
      <totalsRowFormula>Table289[[#Totals],[New suppliers screened using environmental criteria ('#)]]/Table289[[#Totals],[New suppliers FY2022 ('#)]]</totalsRowFormula>
    </tableColumn>
  </tableColumns>
  <tableStyleInfo name="TableStyleLight1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16289943-2901-4687-B74F-0DB82D12B7E1}" name="Table4" displayName="Table4" ref="A24:D28" totalsRowCount="1" headerRowDxfId="221" dataDxfId="220" totalsRowDxfId="218" tableBorderDxfId="219">
  <autoFilter ref="A24:D27" xr:uid="{16289943-2901-4687-B74F-0DB82D12B7E1}"/>
  <tableColumns count="4">
    <tableColumn id="1" xr3:uid="{8D6F5F24-AFE6-4003-B314-6CE4A05CE90A}" name="Country" totalsRowLabel="Company" dataDxfId="217" totalsRowDxfId="216"/>
    <tableColumn id="2" xr3:uid="{413B87A0-2E4B-4D61-83B1-21CC9DF1921A}" name="Active contracts FY2022 (#)" totalsRowFunction="sum" dataDxfId="215" totalsRowDxfId="214"/>
    <tableColumn id="4" xr3:uid="{CC165ED6-D0F2-4D9D-A138-452152458FDB}" name="Active contracts with human rights and anti-corruption clauses (#)" totalsRowFunction="sum" dataDxfId="213" totalsRowDxfId="212"/>
    <tableColumn id="5" xr3:uid="{190E29DA-6E3B-408A-A06C-2D91C24F656F}" name="Active contracts with human rights and anti-corruption clauses (%)" totalsRowFunction="custom" dataDxfId="211" totalsRowDxfId="210">
      <calculatedColumnFormula>Table4[[#This Row],[Active contracts with human rights and anti-corruption clauses ('#)]]/Table4[[#This Row],[Active contracts FY2022 ('#)]]</calculatedColumnFormula>
      <totalsRowFormula>Table4[[#Totals],[Active contracts with human rights and anti-corruption clauses ('#)]]/Table4[[#Totals],[Active contracts FY2022 ('#)]]</totalsRowFormula>
    </tableColumn>
  </tableColumns>
  <tableStyleInfo name="TableStyleLight1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8CA99756-885B-449B-9BE0-6FF27B95B466}" name="Tabla5108" displayName="Tabla5108" ref="A4:E8" totalsRowCount="1" headerRowDxfId="209" dataDxfId="207" totalsRowDxfId="205" headerRowBorderDxfId="208" tableBorderDxfId="206" totalsRowBorderDxfId="204">
  <autoFilter ref="A4:E7" xr:uid="{8CA99756-885B-449B-9BE0-6FF27B95B466}"/>
  <tableColumns count="5">
    <tableColumn id="1" xr3:uid="{A61DDCCD-2914-4C97-8E32-406669137EEB}" name="Site" totalsRowLabel="Company" dataDxfId="203" totalsRowDxfId="202"/>
    <tableColumn id="2" xr3:uid="{82EFDAC3-B9F2-4C97-BE43-BCA90B2FEC58}" name="Security personnel at site FY2022 (#) (1)" totalsRowFunction="sum" dataDxfId="201" totalsRowDxfId="200"/>
    <tableColumn id="3" xr3:uid="{FCC72B92-2E77-4FD2-9720-B34F6C7DEAC1}" name="Security personnel who have received formal training (#)(2)" totalsRowFunction="sum" dataDxfId="199" totalsRowDxfId="198"/>
    <tableColumn id="4" xr3:uid="{9A64C152-5976-489C-82FA-76A5D53C89B8}" name="Security personnel trained (% )" totalsRowFunction="custom" dataDxfId="197" totalsRowDxfId="196">
      <calculatedColumnFormula>C5/B5</calculatedColumnFormula>
      <totalsRowFormula>Tabla5108[[#Totals],[Security personnel who have received formal training ('#)(2)]]/Tabla5108[[#Totals],[Security personnel at site FY2022 ('#) (1)]]</totalsRowFormula>
    </tableColumn>
    <tableColumn id="5" xr3:uid="{48C01594-5056-4086-BA88-0CB3705E9618}" name="Topics " dataDxfId="195" totalsRowDxfId="194"/>
  </tableColumns>
  <tableStyleInfo name="TableStyleLight1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38BF910-1B47-42DF-99A5-D3563786B195}" name="Table81" displayName="Table81" ref="A4:D31" totalsRowShown="0" headerRowDxfId="193" dataDxfId="191" headerRowBorderDxfId="192" tableBorderDxfId="190" totalsRowBorderDxfId="189">
  <autoFilter ref="A4:D31" xr:uid="{D38BF910-1B47-42DF-99A5-D3563786B195}"/>
  <tableColumns count="4">
    <tableColumn id="1" xr3:uid="{0C54E8A4-5997-40A8-BD47-FD18A507C667}" name="Direct economic value generated and distributed FY2020-2022 (Million USD)" dataDxfId="188"/>
    <tableColumn id="5" xr3:uid="{BDC1858C-0C73-4D28-9B7A-67C2CA6E5FBE}" name="2022" dataDxfId="187"/>
    <tableColumn id="6" xr3:uid="{69BB1474-7AA6-42F1-B789-3F631CDD6206}" name="2021" dataDxfId="186"/>
    <tableColumn id="2" xr3:uid="{B0D4E865-CE50-421F-91FC-897E50E853C4}" name="2020" dataDxfId="185"/>
  </tableColumns>
  <tableStyleInfo name="TableStyleLight1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CA17174-C82D-4C97-AE2E-E1A867E6BA65}" name="Table88" displayName="Table88" ref="A37:E43" totalsRowShown="0" headerRowDxfId="184" dataDxfId="183" tableBorderDxfId="182">
  <autoFilter ref="A37:E43" xr:uid="{DCA17174-C82D-4C97-AE2E-E1A867E6BA65}"/>
  <tableColumns count="5">
    <tableColumn id="1" xr3:uid="{B1807C93-9EDE-4BFF-AD64-FCE012FC2976}" name="Country of operation" dataDxfId="181"/>
    <tableColumn id="2" xr3:uid="{7399E592-300F-40E2-9D97-8B03C796F42B}" name="Employees compensated based on minimum wage rules (%)" dataDxfId="180"/>
    <tableColumn id="3" xr3:uid="{3A7A8F1B-8B50-46D2-BB66-A1D21EC54B9E}" name="Monthly entry level wage FY2022 (USD$)" dataDxfId="179"/>
    <tableColumn id="4" xr3:uid="{D7F27776-A0B1-41EE-A220-E064390128C4}" name="Monthly minimum wage FY2022 (USD$)" dataDxfId="178"/>
    <tableColumn id="5" xr3:uid="{BE8FD11E-1C7B-4B6E-82E7-D1A680A2D7F1}" name="Ratio of standard entry level wage to local minimum wage FY2022" dataDxfId="177">
      <calculatedColumnFormula>Table88[[#This Row],[Monthly entry level wage FY2022 (USD$)]]/Table88[[#This Row],[Monthly minimum wage FY2022 (USD$)]]</calculatedColumnFormula>
    </tableColumn>
  </tableColumns>
  <tableStyleInfo name="TableStyleLight1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A49153D-0F35-4168-9050-1F440AEAD9DA}" name="Table119" displayName="Table119" ref="A87:D99" totalsRowShown="0" headerRowDxfId="176" dataDxfId="174" headerRowBorderDxfId="175" tableBorderDxfId="173" totalsRowBorderDxfId="172">
  <autoFilter ref="A87:D99" xr:uid="{FA49153D-0F35-4168-9050-1F440AEAD9DA}"/>
  <tableColumns count="4">
    <tableColumn id="1" xr3:uid="{8606167E-E5CB-4DDB-9BDE-9D658D1B8C60}" name="Proportion of spending on suppliers FY2020-2022 (%)" dataDxfId="171"/>
    <tableColumn id="4" xr3:uid="{73118460-C339-46F0-8E5B-489822B72EB2}" name="2022" dataDxfId="170"/>
    <tableColumn id="5" xr3:uid="{1FFA9B15-F69C-4CC7-9E12-35E86F9604A3}" name="2021" dataDxfId="169"/>
    <tableColumn id="6" xr3:uid="{42C36FAD-FA12-4DA6-A33A-B5BD7C90EED7}" name="2020" dataDxfId="168"/>
  </tableColumns>
  <tableStyleInfo name="TableStyleLight1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1CD440A-54C3-4D2B-B742-321CDFB9C48B}" name="Table77" displayName="Table77" ref="A105:D108" totalsRowCount="1" headerRowDxfId="167" dataDxfId="166" totalsRowDxfId="164" tableBorderDxfId="165">
  <autoFilter ref="A105:D107" xr:uid="{B1CD440A-54C3-4D2B-B742-321CDFB9C48B}"/>
  <tableColumns count="4">
    <tableColumn id="1" xr3:uid="{5FEED5C2-1B52-408E-9EE6-10F8F75ED6DA}" name="Suppliers by origin FY2022 (#)" totalsRowLabel="Total" dataDxfId="163" totalsRowDxfId="162"/>
    <tableColumn id="5" xr3:uid="{63143E92-96A0-4569-8608-A6F0D71D9022}" name="Company" totalsRowFunction="sum" dataDxfId="161" totalsRowDxfId="160">
      <calculatedColumnFormula>SUM(Table77[[#This Row],[Nicaragua]:[United States]])</calculatedColumnFormula>
    </tableColumn>
    <tableColumn id="2" xr3:uid="{E90A32E5-EA89-4298-AED2-02D7BF920EE5}" name="Nicaragua" totalsRowFunction="sum" dataDxfId="159" totalsRowDxfId="158"/>
    <tableColumn id="3" xr3:uid="{3D7039E1-327B-4955-A0DD-BF1D01C437E2}" name="United States" totalsRowFunction="sum" dataDxfId="157" totalsRowDxfId="156"/>
  </tableColumns>
  <tableStyleInfo name="TableStyleLight1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52A212A-2F80-4AE3-AF96-688D634A0C07}" name="Table13115" displayName="Table13115" ref="A4:C15" totalsRowShown="0" headerRowDxfId="155" dataDxfId="153" headerRowBorderDxfId="154" tableBorderDxfId="152" totalsRowBorderDxfId="151">
  <autoFilter ref="A4:C15" xr:uid="{452A212A-2F80-4AE3-AF96-688D634A0C07}"/>
  <tableColumns count="3">
    <tableColumn id="1" xr3:uid="{F4DE611F-9825-4D39-91DE-8BB4B6ADA2DA}" name="Tax jurisdiction" dataDxfId="150"/>
    <tableColumn id="2" xr3:uid="{47E4F087-46CF-4A57-80FE-1DD30F42A18A}" name="Nicaragua" dataDxfId="149"/>
    <tableColumn id="3" xr3:uid="{00F903B8-BF88-407D-954E-A5EEC25822C6}" name="United States" dataDxfId="148"/>
  </tableColumns>
  <tableStyleInfo name="TableStyleLight1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77DB870-7872-44CA-BFF3-94BD70D15A32}" name="Tabla18" displayName="Tabla18" ref="A66:L68" totalsRowShown="0" headerRowDxfId="147" dataDxfId="145" headerRowBorderDxfId="146" tableBorderDxfId="144" totalsRowBorderDxfId="143">
  <autoFilter ref="A66:L68" xr:uid="{177DB870-7872-44CA-BFF3-94BD70D15A32}"/>
  <tableColumns count="12">
    <tableColumn id="1" xr3:uid="{8956F0B1-1B9F-4CE9-A4F5-155DBFB6C69F}" name="(a) Facility name" dataDxfId="142"/>
    <tableColumn id="2" xr3:uid="{951D0920-54FF-4F15-A11D-2CAE000446E1}" name="(b) Location" dataDxfId="141"/>
    <tableColumn id="3" xr3:uid="{72B433F6-7654-41F6-8BD1-8BD43FAA62A2}" name="(c) Ownership status" dataDxfId="140"/>
    <tableColumn id="4" xr3:uid="{B987B214-97AF-45C9-AEF8-F9029E3CF7DA}" name="(d) Operational Status" dataDxfId="139"/>
    <tableColumn id="5" xr3:uid="{1A106A6E-30A5-494B-AC26-F3AA3B8F1AFB}" name="(e) Construction method" dataDxfId="138"/>
    <tableColumn id="6" xr3:uid="{45D7EF97-944C-46E0-A4E8-440B6AC7D869}" name="(f) Maximum permitted storage capacity (t)" dataDxfId="137"/>
    <tableColumn id="7" xr3:uid="{C19B5781-9105-4380-9228-735352A04D0F}" name="(g) Current amount of tailings stored" dataDxfId="136"/>
    <tableColumn id="8" xr3:uid="{67E50E66-7229-4B3E-8BE2-83FF3BDC54AD}" name="(h) Consequence classification" dataDxfId="135"/>
    <tableColumn id="9" xr3:uid="{FE8AAAC1-B36E-401E-946E-0D076EBE73DE}" name="(i) Date of most recent independent technical review" dataDxfId="134"/>
    <tableColumn id="10" xr3:uid="{B7045483-CD38-413A-A095-391989335391}" name="(j) Material findings" dataDxfId="133"/>
    <tableColumn id="11" xr3:uid="{E9193187-6A0F-4696-A157-3524AB431526}" name="(k) Mitigation measures" dataDxfId="132"/>
    <tableColumn id="12" xr3:uid="{77215E84-7454-498E-8BCA-9C05534609E4}" name="(l) Site-specific EPRP" dataDxfId="131"/>
  </tableColumns>
  <tableStyleInfo name="TableStyleLight1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85B6833-645F-4085-AD32-725B73C90F32}" name="Table1417" displayName="Table1417" ref="A5:D11" totalsRowShown="0" headerRowDxfId="130" dataDxfId="128" headerRowBorderDxfId="129" tableBorderDxfId="127" totalsRowBorderDxfId="126">
  <autoFilter ref="A5:D11" xr:uid="{C85B6833-645F-4085-AD32-725B73C90F32}"/>
  <tableColumns count="4">
    <tableColumn id="1" xr3:uid="{71D99F35-9035-4399-B39F-CF917A3F44F7}" name="Non-mineral waste by composition FY2021-2022, in metric tonnes (t)" dataDxfId="125"/>
    <tableColumn id="2" xr3:uid="{EA7D988D-ED35-43F8-A659-611E3F0AC43B}" name="Waste generated" dataDxfId="124"/>
    <tableColumn id="3" xr3:uid="{6311B554-563C-4B05-95BD-441329C7C226}" name="Waste diverted from disposal" dataDxfId="123"/>
    <tableColumn id="4" xr3:uid="{E0DB02F4-8EC7-406D-AE83-876162D36864}" name="Waste directed to disposal" dataDxfId="122"/>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2496CA3-E5DE-46EB-A575-D99F4E8F28A9}" name="Tabla192234" displayName="Tabla192234" ref="A37:E47" headerRowDxfId="745" dataDxfId="743" totalsRowDxfId="741" headerRowBorderDxfId="744" tableBorderDxfId="742">
  <autoFilter ref="A37:E47" xr:uid="{12496CA3-E5DE-46EB-A575-D99F4E8F28A9}"/>
  <tableColumns count="5">
    <tableColumn id="1" xr3:uid="{92E9B769-DD06-48FA-BD04-116BB015B845}" name="Stakeholder group" totalsRowLabel="Total" dataDxfId="740" totalsRowDxfId="739"/>
    <tableColumn id="11" xr3:uid="{816FE29F-E898-4A59-A417-89A61BA32107}" name="Purpose of engagement" dataDxfId="738" totalsRowDxfId="737"/>
    <tableColumn id="2" xr3:uid="{46660ECE-F414-486D-8DA3-2B5B3E918122}" name="Methods of engagement" totalsRowFunction="sum" dataDxfId="736" totalsRowDxfId="735"/>
    <tableColumn id="10" xr3:uid="{870927EC-1FB4-4CA6-BC5E-5E7DDF2E31BC}" name="Frequency" dataDxfId="734" totalsRowDxfId="733"/>
    <tableColumn id="3" xr3:uid="{E5827BC1-5009-4F67-9062-31D495458748}" name="Examples " dataDxfId="732" totalsRowDxfId="731"/>
  </tableColumns>
  <tableStyleInfo name="TableStyleLight1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0BC47B8-B1BF-4845-A2E8-3BD29DEAD3E3}" name="Table14138" displayName="Table14138" ref="F5:I11" totalsRowShown="0" headerRowDxfId="121" dataDxfId="120" tableBorderDxfId="119">
  <autoFilter ref="F5:I11" xr:uid="{60BC47B8-B1BF-4845-A2E8-3BD29DEAD3E3}"/>
  <tableColumns count="4">
    <tableColumn id="1" xr3:uid="{7DD8F597-A2EF-41A6-99B5-8605AF881278}" name="Non-mineral waste by composition FY2021-2022, in metric tonnes (t)" dataDxfId="118"/>
    <tableColumn id="2" xr3:uid="{30C33E0F-BD42-43BA-9FEA-9E20F1113CB7}" name="Waste generated" dataDxfId="117"/>
    <tableColumn id="3" xr3:uid="{5E880D86-9265-495E-B4FD-8BDEBAFFEF38}" name="Waste diverted from disposal" dataDxfId="116"/>
    <tableColumn id="4" xr3:uid="{1ADDA795-7DAD-4367-A8A1-C8AEE13F2A45}" name="Waste directed to disposal" dataDxfId="115"/>
  </tableColumns>
  <tableStyleInfo name="TableStyleLight1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C8B7BE9-74F8-4D4C-BDBC-626D76912090}" name="Table14138141" displayName="Table14138141" ref="K5:N11" totalsRowShown="0" headerRowDxfId="114" dataDxfId="112" headerRowBorderDxfId="113" tableBorderDxfId="111" totalsRowBorderDxfId="110">
  <autoFilter ref="K5:N11" xr:uid="{BC8B7BE9-74F8-4D4C-BDBC-626D76912090}"/>
  <tableColumns count="4">
    <tableColumn id="1" xr3:uid="{9334AAF0-1514-46A4-A669-5462ED7C1251}" name="Non-mineral waste by composition FY2021-2022, in metric tonnes (t)" dataDxfId="109"/>
    <tableColumn id="2" xr3:uid="{38B882BC-91AE-4210-8E14-9BF095762E0B}" name="Waste generated" dataDxfId="108"/>
    <tableColumn id="3" xr3:uid="{B911BB27-F397-4D15-9E20-426633360D6E}" name="Waste diverted from disposal" dataDxfId="107"/>
    <tableColumn id="4" xr3:uid="{D5468B77-64AE-459B-AEF7-72C8BC4AB7DB}" name="Waste directed to disposal" dataDxfId="106"/>
  </tableColumns>
  <tableStyleInfo name="TableStyleLight1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B909359-631C-4F29-8D05-559779719BEB}" name="Table14138142" displayName="Table14138142" ref="P5:S11" totalsRowShown="0" headerRowDxfId="105" dataDxfId="104" tableBorderDxfId="103">
  <autoFilter ref="P5:S11" xr:uid="{FB909359-631C-4F29-8D05-559779719BEB}"/>
  <tableColumns count="4">
    <tableColumn id="1" xr3:uid="{4044D14E-D3E7-42A8-B4B7-07C39026A031}" name="Non-mineral waste by composition FY2021-2022, in metric tonnes (t)" dataDxfId="102"/>
    <tableColumn id="2" xr3:uid="{EEF425C7-8568-4F21-A30B-CD2CFEEE5C29}" name="Waste generated" dataDxfId="101"/>
    <tableColumn id="3" xr3:uid="{1F65B161-A88D-442A-8968-CA4793022D46}" name="Waste diverted from disposal" dataDxfId="100"/>
    <tableColumn id="4" xr3:uid="{78E2B042-5DF2-4E07-85C4-D55606C8548D}" name="Waste directed to disposal" dataDxfId="99"/>
  </tableColumns>
  <tableStyleInfo name="TableStyleLight1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373D406-285F-46CC-AD07-A8F977DDC4BD}" name="Tabla15" displayName="Tabla15" ref="I17:L26" totalsRowShown="0" headerRowDxfId="98" dataDxfId="97">
  <autoFilter ref="I17:L26" xr:uid="{9373D406-285F-46CC-AD07-A8F977DDC4BD}"/>
  <tableColumns count="4">
    <tableColumn id="1" xr3:uid="{F32DBBFB-E837-4B15-B584-FB79789CC3E1}" name="Non-mineral waste diverted from disposal by recovery(2) operation in metric tonnes (t) FY2021-2022" dataDxfId="96"/>
    <tableColumn id="5" xr3:uid="{51500E82-8E11-4A85-BAA6-044EDE8B8345}" name="Onsite" dataDxfId="95"/>
    <tableColumn id="6" xr3:uid="{A5C079B2-DC34-4A3B-9C5F-E19E559CBBB7}" name="Offsite" dataDxfId="94"/>
    <tableColumn id="7" xr3:uid="{E36DD97C-7429-4399-9497-9C1C363BBDF1}" name="Total" dataDxfId="93"/>
  </tableColumns>
  <tableStyleInfo name="TableStyleLight1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0656F15-32A0-44A3-BB77-E13E5F05D2E6}" name="Tabla1526" displayName="Tabla1526" ref="Q17:T26" totalsRowShown="0" headerRowDxfId="92" dataDxfId="91">
  <autoFilter ref="Q17:T26" xr:uid="{40656F15-32A0-44A3-BB77-E13E5F05D2E6}"/>
  <tableColumns count="4">
    <tableColumn id="1" xr3:uid="{EE0C021C-D299-4CA6-960D-EBE0EA1CB5E2}" name="Non-mineral waste diverted from disposal by recovery(2) operation in metric tonnes (t) FY2021-2022" dataDxfId="90"/>
    <tableColumn id="8" xr3:uid="{76892899-E974-49C4-AFD2-B421C97BB08A}" name="Onsite" dataDxfId="89"/>
    <tableColumn id="9" xr3:uid="{7C35634B-479B-42DE-A738-45F797697424}" name="Offsite" dataDxfId="88"/>
    <tableColumn id="10" xr3:uid="{8EA76BBE-6881-4345-88A4-B62B9B28CD6D}" name="Total" dataDxfId="87"/>
  </tableColumns>
  <tableStyleInfo name="TableStyleLight1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6B904847-2D4F-4D91-9BB7-C19F76E723F7}" name="Tabla1528" displayName="Tabla1528" ref="Y17:Y26" totalsRowShown="0" headerRowDxfId="86" dataDxfId="85">
  <autoFilter ref="Y17:Y26" xr:uid="{6B904847-2D4F-4D91-9BB7-C19F76E723F7}"/>
  <tableColumns count="1">
    <tableColumn id="1" xr3:uid="{BADE4E6C-65FE-44C6-9869-19D472F5DB5B}" name="Non-mineral waste diverted from disposal by recovery(2) operation in metric tonnes (t) FY2021-2022" dataDxfId="84"/>
  </tableColumns>
  <tableStyleInfo name="TableStyleLight1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9AFCE7B9-95BB-42EC-B369-C2B559A5A02A}" name="Tabla15263168" displayName="Tabla15263168" ref="A17:D26" totalsRowShown="0" headerRowDxfId="83" dataDxfId="82">
  <autoFilter ref="A17:D26" xr:uid="{9AFCE7B9-95BB-42EC-B369-C2B559A5A02A}"/>
  <tableColumns count="4">
    <tableColumn id="1" xr3:uid="{E4D31F18-BC87-4947-BA08-37405C7E48D8}" name="Non-mineral waste diverted from disposal by recovery operation in metric tonnes (t) FY2021-2022" dataDxfId="81"/>
    <tableColumn id="5" xr3:uid="{CD0415A0-C20F-4056-A959-A04477AAD93F}" name="Onsite" dataDxfId="80"/>
    <tableColumn id="6" xr3:uid="{E70959CA-FB4F-4B57-9B81-DAACED7D562C}" name="Offsite" dataDxfId="79"/>
    <tableColumn id="7" xr3:uid="{3C5A6CA3-3A41-4283-95B7-12E327CA23C6}" name="Total" dataDxfId="78"/>
  </tableColumns>
  <tableStyleInfo name="TableStyleLight1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FBC5755E-5BD6-4955-A7A2-C60882FE2065}" name="Tabla16" displayName="Tabla16" ref="I32:O43" totalsRowCount="1" headerRowDxfId="77" dataDxfId="76" totalsRowDxfId="74" tableBorderDxfId="75" totalsRowCellStyle="Total">
  <autoFilter ref="I32:O42" xr:uid="{FBC5755E-5BD6-4955-A7A2-C60882FE2065}"/>
  <tableColumns count="7">
    <tableColumn id="1" xr3:uid="{C96407A0-00BD-4258-838F-F90A2C65ACF5}" name="2021 non-mineral waste directed to disposal, by disposal operation in metric tonnes (t)" totalsRowLabel="Total" dataDxfId="73" totalsRowDxfId="72"/>
    <tableColumn id="5" xr3:uid="{7CCFABCF-30E2-4ED0-91B9-1D2527A92D1A}" name="Onsite2" totalsRowFunction="custom" dataDxfId="71" totalsRowDxfId="70">
      <totalsRowFormula>SUM(J33+J38)</totalsRowFormula>
    </tableColumn>
    <tableColumn id="6" xr3:uid="{B7FA9703-9F47-48DB-9AF1-BECD40F24DB7}" name="Offsite3" totalsRowFunction="custom" dataDxfId="69" totalsRowDxfId="68">
      <totalsRowFormula>SUM(K33+K38)</totalsRowFormula>
    </tableColumn>
    <tableColumn id="7" xr3:uid="{0444A42D-CC0D-4504-A411-257A1C3764B2}" name="Total4" totalsRowFunction="custom" dataDxfId="67" totalsRowDxfId="66">
      <calculatedColumnFormula>SUM(J33+M33)</calculatedColumnFormula>
      <totalsRowFormula>SUM(L33+L38)</totalsRowFormula>
    </tableColumn>
    <tableColumn id="8" xr3:uid="{59CCE7A3-43CD-4C08-82BE-4909E2F826D8}" name="Onsite3" totalsRowLabel="264.60" dataDxfId="65" totalsRowDxfId="64" totalsRowCellStyle="Total"/>
    <tableColumn id="9" xr3:uid="{01DC1938-9816-4F56-A708-C1FDA9C5DADC}" name="Offsite4" totalsRowLabel="524.50" dataDxfId="63" totalsRowDxfId="62" totalsRowCellStyle="Total"/>
    <tableColumn id="10" xr3:uid="{37F9BA0D-F058-48EC-AB1B-B5D7A313D5A3}" name="Total5" totalsRowLabel="789.10" dataDxfId="61" totalsRowDxfId="60" totalsRowCellStyle="Total"/>
  </tableColumns>
  <tableStyleInfo name="TableStyleLight1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535B334C-CEA4-4738-A7FF-AE53D6B7145F}" name="Tabla1636" displayName="Tabla1636" ref="Q32:W43" totalsRowCount="1" headerRowDxfId="59" dataDxfId="58" totalsRowDxfId="56" tableBorderDxfId="57" totalsRowCellStyle="Total">
  <autoFilter ref="Q32:W42" xr:uid="{535B334C-CEA4-4738-A7FF-AE53D6B7145F}"/>
  <tableColumns count="7">
    <tableColumn id="1" xr3:uid="{89457F7A-89EE-43FF-83BD-5495066B2DD2}" name="2021 non-mineral waste directed to disposal, by disposal operation in metric tonnes (t)" totalsRowLabel="Total" totalsRowDxfId="55"/>
    <tableColumn id="5" xr3:uid="{4E49CDBE-2AA5-47C8-8F10-DED67477FA4A}" name="Onsite2" totalsRowFunction="custom" totalsRowDxfId="54">
      <totalsRowFormula>SUM(R33+R38)</totalsRowFormula>
    </tableColumn>
    <tableColumn id="6" xr3:uid="{6EFC257C-8A4B-4CE2-82CF-DA29D3C99CBD}" name="Offsite3" totalsRowFunction="custom" totalsRowDxfId="53">
      <totalsRowFormula>SUM(S33+S38)</totalsRowFormula>
    </tableColumn>
    <tableColumn id="7" xr3:uid="{1E6291C2-BFC3-4BF0-931C-ADA5895FE002}" name="Total4" totalsRowFunction="custom" totalsRowDxfId="52">
      <calculatedColumnFormula>SUM(R33+#REF!)</calculatedColumnFormula>
      <totalsRowFormula>SUM(T33+T38)</totalsRowFormula>
    </tableColumn>
    <tableColumn id="8" xr3:uid="{AC529874-2D1B-46DE-8830-FD0662457056}" name="Onsite" totalsRowFunction="custom" totalsRowDxfId="51">
      <totalsRowFormula>SUM(U33+U38)</totalsRowFormula>
    </tableColumn>
    <tableColumn id="9" xr3:uid="{8AE355A7-4B5F-4C36-AC77-DE438C8EA404}" name="Offsite" totalsRowFunction="custom" totalsRowDxfId="50">
      <totalsRowFormula>SUM(V33+V38)</totalsRowFormula>
    </tableColumn>
    <tableColumn id="10" xr3:uid="{DA0FCFDF-39EF-41AD-8CA6-455924E3D673}" name="Total" totalsRowFunction="custom" totalsRowDxfId="49">
      <totalsRowFormula>SUM(W33+W38)</totalsRowFormula>
    </tableColumn>
  </tableColumns>
  <tableStyleInfo name="TableStyleLight1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344490B9-7E53-4947-BD73-8B7DE2E16F10}" name="Tabla1638" displayName="Tabla1638" ref="Y32:AB43" totalsRowCount="1" headerRowDxfId="48" dataDxfId="47" totalsRowDxfId="46" totalsRowCellStyle="Total">
  <autoFilter ref="Y32:AB42" xr:uid="{344490B9-7E53-4947-BD73-8B7DE2E16F10}"/>
  <tableColumns count="4">
    <tableColumn id="1" xr3:uid="{9155519A-80E3-4219-AFBD-922C9D1F9551}" name="2021 non-mineral waste directed to disposal, by disposal operation in metric tonnes (t)" totalsRowLabel="Total" totalsRowDxfId="45"/>
    <tableColumn id="5" xr3:uid="{658EB99E-278E-44D6-BCC7-9764DC8B2D27}" name="Onsite" totalsRowFunction="custom" totalsRowDxfId="44">
      <totalsRowFormula>SUM(Z33+Z38)</totalsRowFormula>
    </tableColumn>
    <tableColumn id="6" xr3:uid="{F3C6EF73-B7F9-4CC7-8C2C-12F0267E4843}" name="Offsite" totalsRowFunction="custom" totalsRowDxfId="43">
      <totalsRowFormula>SUM(AA33+AA38)</totalsRowFormula>
    </tableColumn>
    <tableColumn id="7" xr3:uid="{1D312C93-230D-4447-990C-2C0FBB00C5B1}" name="Total" totalsRowFunction="custom" totalsRowDxfId="42">
      <calculatedColumnFormula>SUM(Z33+#REF!)</calculatedColumnFormula>
      <totalsRowFormula>SUM(AB33+AB38)</totalsRowFormula>
    </tableColumn>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9F878D34-9BF2-45A0-9D83-C9A9B721B58D}" name="Tabla1922" displayName="Tabla1922" ref="A20:D23" headerRowDxfId="730" dataDxfId="728" totalsRowDxfId="726" headerRowBorderDxfId="729" tableBorderDxfId="727">
  <autoFilter ref="A20:D23" xr:uid="{9F878D34-9BF2-45A0-9D83-C9A9B721B58D}"/>
  <tableColumns count="4">
    <tableColumn id="1" xr3:uid="{AC630F59-4C8B-45EC-A34E-4B877F966D5D}" name="Association" totalsRowLabel="Total" dataDxfId="725"/>
    <tableColumn id="11" xr3:uid="{5FA1E56C-D0C3-42A5-8663-4ECD790B670C}" name="Mission / Objective" dataDxfId="724"/>
    <tableColumn id="2" xr3:uid="{F9228569-D72A-455A-8665-987A1F44FA9E}" name="Our role" totalsRowFunction="sum" dataDxfId="723"/>
    <tableColumn id="10" xr3:uid="{A4675BE4-E307-44AD-950E-695A098B20A1}" name="Date of adherence" dataDxfId="722"/>
  </tableColumns>
  <tableStyleInfo name="TableStyleLight1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8138F358-242D-4470-BBFF-877E45888525}" name="Tabla163645" displayName="Tabla163645" ref="A32:G43" totalsRowCount="1" headerRowDxfId="41" dataDxfId="40" totalsRowDxfId="38" tableBorderDxfId="39" totalsRowCellStyle="Total">
  <autoFilter ref="A32:G42" xr:uid="{8138F358-242D-4470-BBFF-877E45888525}"/>
  <tableColumns count="7">
    <tableColumn id="1" xr3:uid="{904473F9-B718-4F87-BF03-50435FFC3786}" name="Non-mineral waste directed to disposal, by disposal operation in metric tonnes (t), FY2021-2022" totalsRowLabel="Total" dataDxfId="37" totalsRowDxfId="36"/>
    <tableColumn id="5" xr3:uid="{650CBB6E-B8CE-4105-91AA-00825C7D6131}" name="Onsite" totalsRowFunction="custom" dataDxfId="35" totalsRowDxfId="34">
      <totalsRowFormula>SUM(B33+B38)</totalsRowFormula>
    </tableColumn>
    <tableColumn id="6" xr3:uid="{C32BA05A-8024-402C-8C6C-5C419B99D592}" name="Offsite" totalsRowFunction="custom" dataDxfId="33" totalsRowDxfId="32">
      <totalsRowFormula>SUM(C33+C38)</totalsRowFormula>
    </tableColumn>
    <tableColumn id="7" xr3:uid="{2E85539B-3895-4DC5-94EA-75E3727F28C6}" name="Total" totalsRowFunction="custom" dataDxfId="31" totalsRowDxfId="30">
      <calculatedColumnFormula>SUM(B33+E33)</calculatedColumnFormula>
      <totalsRowFormula>SUM(D33+D38)</totalsRowFormula>
    </tableColumn>
    <tableColumn id="8" xr3:uid="{87C46B7C-E269-4AC3-90C4-3AA8159AF9BE}" name="Onsite2" totalsRowLabel="264.6" dataDxfId="29" totalsRowDxfId="28"/>
    <tableColumn id="9" xr3:uid="{6849A2BF-3E34-4483-80B2-B851D93318E9}" name="Offsite2" totalsRowLabel="524.5" dataDxfId="27" totalsRowDxfId="26"/>
    <tableColumn id="10" xr3:uid="{7B8D19B4-6576-44D2-9566-1D704E75B669}" name="Total2" totalsRowLabel="789.1" dataDxfId="25" totalsRowDxfId="24"/>
  </tableColumns>
  <tableStyleInfo name="TableStyleLight1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41748BF-9F24-4A3E-965E-EBCF92398DE4}" name="Table51" displayName="Table51" ref="A62:K67" totalsRowShown="0" headerRowDxfId="23" dataDxfId="21" headerRowBorderDxfId="22" tableBorderDxfId="20" totalsRowBorderDxfId="19">
  <autoFilter ref="A62:K67" xr:uid="{441748BF-9F24-4A3E-965E-EBCF92398DE4}"/>
  <tableColumns count="11">
    <tableColumn id="1" xr3:uid="{E0650B96-A64D-424F-BB88-AEE1187B42C7}" name="Water consumption" dataDxfId="18"/>
    <tableColumn id="2" xr3:uid="{FB58F20A-1F52-4B94-B453-7EF38554134F}" name="Company" dataDxfId="17"/>
    <tableColumn id="3" xr3:uid="{40A1456F-FAB9-43CA-B692-3A7D58657C08}" name="El Limon Complex" dataDxfId="16"/>
    <tableColumn id="4" xr3:uid="{165AFA72-44EE-48FD-B3F3-3EA1AFC8E09F}" name="La Libertad Complex" dataDxfId="15"/>
    <tableColumn id="5" xr3:uid="{708B795B-9267-4F70-9A7C-9C40A342104D}" name="Pan Mine" dataDxfId="14"/>
    <tableColumn id="6" xr3:uid="{5359E52B-DE21-4B7C-BAE6-DA0A0DF2BAA3}" name="Company2" dataDxfId="13"/>
    <tableColumn id="7" xr3:uid="{B2534AAB-2887-4CC4-9BDA-43762826B9B4}" name="El Limon Complex2" dataDxfId="12"/>
    <tableColumn id="8" xr3:uid="{6FF4C78C-FB3A-4BAD-9E3A-1E88DAC1854C}" name="La Libertad Complex3" dataDxfId="11"/>
    <tableColumn id="9" xr3:uid="{F8A21318-2015-44AB-A948-3BD7D1FD9101}" name="Company3" dataDxfId="10"/>
    <tableColumn id="10" xr3:uid="{D580BF46-84B6-4DAB-ADAB-941B5D03E680}" name="El Limon Complex5" dataDxfId="9"/>
    <tableColumn id="11" xr3:uid="{240F1D52-9EE6-4E61-8A7F-BF3D33904A45}" name="La Libertad Complex6" dataDxfId="8"/>
  </tableColumns>
  <tableStyleInfo name="TableStyleLight1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69A82012-B28A-404C-8BDC-C8EE986E8D2A}" name="Table45" displayName="Table45" ref="A31:C46" totalsRowShown="0" headerRowDxfId="7" dataDxfId="5" headerRowBorderDxfId="6" tableBorderDxfId="4" totalsRowBorderDxfId="3">
  <autoFilter ref="A31:C46" xr:uid="{69A82012-B28A-404C-8BDC-C8EE986E8D2A}"/>
  <tableColumns count="3">
    <tableColumn id="1" xr3:uid="{68FCB7FA-938B-46DE-82BF-C022D12F0D98}" name="SECTOR" dataDxfId="2"/>
    <tableColumn id="2" xr3:uid="{6B7CBE0D-950D-465F-9E38-155A1002A40A}" name="TOPIC" dataDxfId="1"/>
    <tableColumn id="3" xr3:uid="{AFA54CC7-CA14-4F96-BF06-E62C824BB31F}" name="2023 Targets" dataDxfId="0"/>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C87F5CB-9FC1-43A1-90B0-DD76E098DE2C}" name="Tabla47" displayName="Tabla47" ref="A4:F7" totalsRowShown="0" headerRowDxfId="721" dataDxfId="719" headerRowBorderDxfId="720" tableBorderDxfId="718" totalsRowBorderDxfId="717">
  <autoFilter ref="A4:F7" xr:uid="{2C87F5CB-9FC1-43A1-90B0-DD76E098DE2C}"/>
  <tableColumns count="6">
    <tableColumn id="1" xr3:uid="{7890ADF8-C3CA-4382-BC0A-A81B3A5C4BEE}" name="Site" dataDxfId="716"/>
    <tableColumn id="2" xr3:uid="{CF73036C-194F-40C4-949E-93A699E82FC0}" name="ASM present?" dataDxfId="715"/>
    <tableColumn id="3" xr3:uid="{AA5AD1AA-3A0F-483B-B43B-84A0B4BAF845}" name="Location" dataDxfId="714"/>
    <tableColumn id="4" xr3:uid="{A6726DE0-D0E8-4A5B-9FC3-0608B788742F}" name="ASM workers FY2022 (#)" dataDxfId="713"/>
    <tableColumn id="5" xr3:uid="{DB1EB440-1C68-430F-A0AA-9906EDF2057A}" name="Associated risks" dataDxfId="712"/>
    <tableColumn id="6" xr3:uid="{5938D459-773B-44BA-B865-C337600CCB23}" name="Actions taken" dataDxfId="711"/>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4742699-DA8F-4A41-BCB4-0A68127C6CF0}" name="Table110" displayName="Table110" ref="A15:E18" totalsRowShown="0" headerRowDxfId="710" dataDxfId="709" tableBorderDxfId="708">
  <autoFilter ref="A15:E18" xr:uid="{F4742699-DA8F-4A41-BCB4-0A68127C6CF0}"/>
  <tableColumns count="5">
    <tableColumn id="1" xr3:uid="{9D74CD94-AF27-4168-AD26-2E6D6880AF3C}" name="Trailing of water pollution avoided due to Calibre ore purchase program with artisanal miners FY2020-2022" dataDxfId="707"/>
    <tableColumn id="4" xr3:uid="{5ABC6E0F-DDEC-4F3A-9E44-67A115EAF2CD}" name="2022" dataDxfId="706"/>
    <tableColumn id="7" xr3:uid="{4F6732EC-06AE-4857-A912-6BE927DB92CB}" name="2021" dataDxfId="705"/>
    <tableColumn id="6" xr3:uid="{4A281381-54DA-4309-880D-02702E39B501}" name="2020" dataDxfId="704"/>
    <tableColumn id="5" xr3:uid="{425FA929-FEDE-497C-931C-599FE71BADFE}" name="Total FY2020-2022" dataDxfId="703">
      <calculatedColumnFormula>SUM(Table110[[#This Row],[2022]:[2020]])</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Calibre">
      <a:dk1>
        <a:srgbClr val="000000"/>
      </a:dk1>
      <a:lt1>
        <a:srgbClr val="FFFFFF"/>
      </a:lt1>
      <a:dk2>
        <a:srgbClr val="003084"/>
      </a:dk2>
      <a:lt2>
        <a:srgbClr val="F2F2F2"/>
      </a:lt2>
      <a:accent1>
        <a:srgbClr val="003084"/>
      </a:accent1>
      <a:accent2>
        <a:srgbClr val="00620A"/>
      </a:accent2>
      <a:accent3>
        <a:srgbClr val="D49600"/>
      </a:accent3>
      <a:accent4>
        <a:srgbClr val="6073A9"/>
      </a:accent4>
      <a:accent5>
        <a:srgbClr val="68916B"/>
      </a:accent5>
      <a:accent6>
        <a:srgbClr val="C3C9DE"/>
      </a:accent6>
      <a:hlink>
        <a:srgbClr val="00620A"/>
      </a:hlink>
      <a:folHlink>
        <a:srgbClr val="9696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2-10-17T16:06:36.38" personId="{4F8A6CE2-D40D-4879-9647-D3889F6658BA}" id="{90112153-54A1-4700-8DA6-0CEF031A44D5}">
    <text>Includes "Capital expenditures", Care and Maintainance Costs" and "Exploration Costs" detailed in previous years</text>
  </threadedComment>
  <threadedComment ref="A17" dT="2022-10-17T16:06:36.38" personId="{4F8A6CE2-D40D-4879-9647-D3889F6658BA}" id="{B88C608C-08F0-41AB-AEBC-3099945545FA}">
    <text>Includes  "Capital expenditures", "Care and Maintainance Costs" and "Exploration Costs" detailed in previous years</text>
  </threadedComment>
  <threadedComment ref="A26" dT="2022-10-17T16:06:36.38" personId="{4F8A6CE2-D40D-4879-9647-D3889F6658BA}" id="{8047059C-5564-41E1-8409-E165DD43EE39}">
    <text>Includes  "Capital expenditures", "Care and Maintainance Costs" and "Exploration Costs" detailed in previous years</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table" Target="../tables/table43.xml"/><Relationship Id="rId11" Type="http://schemas.openxmlformats.org/officeDocument/2006/relationships/table" Target="../tables/table48.xml"/><Relationship Id="rId5" Type="http://schemas.openxmlformats.org/officeDocument/2006/relationships/table" Target="../tables/table42.xml"/><Relationship Id="rId10" Type="http://schemas.openxmlformats.org/officeDocument/2006/relationships/table" Target="../tables/table47.xml"/><Relationship Id="rId4" Type="http://schemas.openxmlformats.org/officeDocument/2006/relationships/table" Target="../tables/table41.xml"/><Relationship Id="rId9" Type="http://schemas.openxmlformats.org/officeDocument/2006/relationships/table" Target="../tables/table4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drawing" Target="../drawings/drawing12.xml"/><Relationship Id="rId4" Type="http://schemas.openxmlformats.org/officeDocument/2006/relationships/table" Target="../tables/table5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56.xml"/><Relationship Id="rId3" Type="http://schemas.openxmlformats.org/officeDocument/2006/relationships/drawing" Target="../drawings/drawing14.xml"/><Relationship Id="rId7" Type="http://schemas.openxmlformats.org/officeDocument/2006/relationships/table" Target="../tables/table55.xml"/><Relationship Id="rId2" Type="http://schemas.openxmlformats.org/officeDocument/2006/relationships/printerSettings" Target="../printerSettings/printerSettings10.bin"/><Relationship Id="rId1" Type="http://schemas.openxmlformats.org/officeDocument/2006/relationships/hyperlink" Target="https://www.youtube.com/watch?v=qsyfpep8RIc" TargetMode="External"/><Relationship Id="rId6" Type="http://schemas.openxmlformats.org/officeDocument/2006/relationships/table" Target="../tables/table54.xml"/><Relationship Id="rId5" Type="http://schemas.openxmlformats.org/officeDocument/2006/relationships/table" Target="../tables/table53.xml"/><Relationship Id="rId10" Type="http://schemas.microsoft.com/office/2017/10/relationships/threadedComment" Target="../threadedComments/threadedComment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64.xml"/><Relationship Id="rId13" Type="http://schemas.openxmlformats.org/officeDocument/2006/relationships/table" Target="../tables/table69.xml"/><Relationship Id="rId3" Type="http://schemas.openxmlformats.org/officeDocument/2006/relationships/table" Target="../tables/table59.xml"/><Relationship Id="rId7" Type="http://schemas.openxmlformats.org/officeDocument/2006/relationships/table" Target="../tables/table63.xml"/><Relationship Id="rId12" Type="http://schemas.openxmlformats.org/officeDocument/2006/relationships/table" Target="../tables/table68.xml"/><Relationship Id="rId2" Type="http://schemas.openxmlformats.org/officeDocument/2006/relationships/table" Target="../tables/table58.xml"/><Relationship Id="rId1" Type="http://schemas.openxmlformats.org/officeDocument/2006/relationships/drawing" Target="../drawings/drawing16.xml"/><Relationship Id="rId6" Type="http://schemas.openxmlformats.org/officeDocument/2006/relationships/table" Target="../tables/table62.xml"/><Relationship Id="rId11" Type="http://schemas.openxmlformats.org/officeDocument/2006/relationships/table" Target="../tables/table67.xml"/><Relationship Id="rId5" Type="http://schemas.openxmlformats.org/officeDocument/2006/relationships/table" Target="../tables/table61.xml"/><Relationship Id="rId10" Type="http://schemas.openxmlformats.org/officeDocument/2006/relationships/table" Target="../tables/table66.xml"/><Relationship Id="rId4" Type="http://schemas.openxmlformats.org/officeDocument/2006/relationships/table" Target="../tables/table60.xml"/><Relationship Id="rId9" Type="http://schemas.openxmlformats.org/officeDocument/2006/relationships/table" Target="../tables/table65.xml"/><Relationship Id="rId14" Type="http://schemas.openxmlformats.org/officeDocument/2006/relationships/table" Target="../tables/table70.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71.xml"/><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hyperlink" Target="http://caminic.com/" TargetMode="External"/><Relationship Id="rId13" Type="http://schemas.openxmlformats.org/officeDocument/2006/relationships/hyperlink" Target="https://www.youtube.com/watch?v=krCo9f0fy3w" TargetMode="External"/><Relationship Id="rId18" Type="http://schemas.openxmlformats.org/officeDocument/2006/relationships/hyperlink" Target="https://www.youtube.com/watch?v=VB-FOMDIMwo" TargetMode="External"/><Relationship Id="rId26" Type="http://schemas.openxmlformats.org/officeDocument/2006/relationships/table" Target="../tables/table6.xml"/><Relationship Id="rId3" Type="http://schemas.openxmlformats.org/officeDocument/2006/relationships/hyperlink" Target="https://www.ifrs.org/" TargetMode="External"/><Relationship Id="rId21" Type="http://schemas.openxmlformats.org/officeDocument/2006/relationships/drawing" Target="../drawings/drawing2.xml"/><Relationship Id="rId7" Type="http://schemas.openxmlformats.org/officeDocument/2006/relationships/hyperlink" Target="https://www.gold.org/" TargetMode="External"/><Relationship Id="rId12" Type="http://schemas.openxmlformats.org/officeDocument/2006/relationships/hyperlink" Target="https://www.calibremining.com/investors/estma/" TargetMode="External"/><Relationship Id="rId17" Type="http://schemas.openxmlformats.org/officeDocument/2006/relationships/hyperlink" Target="https://www.calibremining.com/news/" TargetMode="External"/><Relationship Id="rId25" Type="http://schemas.openxmlformats.org/officeDocument/2006/relationships/table" Target="../tables/table5.xml"/><Relationship Id="rId2" Type="http://schemas.openxmlformats.org/officeDocument/2006/relationships/hyperlink" Target="https://www.voluntaryprinciples.org/" TargetMode="External"/><Relationship Id="rId16" Type="http://schemas.openxmlformats.org/officeDocument/2006/relationships/hyperlink" Target="https://youtu.be/aHk7g_Jr52A" TargetMode="External"/><Relationship Id="rId20" Type="http://schemas.openxmlformats.org/officeDocument/2006/relationships/printerSettings" Target="../printerSettings/printerSettings2.bin"/><Relationship Id="rId1" Type="http://schemas.openxmlformats.org/officeDocument/2006/relationships/hyperlink" Target="https://www.ohchr.org/documents/publications/guidingprinciplesbusinesshr_en.pdf" TargetMode="External"/><Relationship Id="rId6" Type="http://schemas.openxmlformats.org/officeDocument/2006/relationships/hyperlink" Target="https://www.ifc.org/wps/wcm/connect/topics_ext_content/ifc_external_corporate_site/sustainability-at-ifc/publications/publications_handbook_pps" TargetMode="External"/><Relationship Id="rId11" Type="http://schemas.openxmlformats.org/officeDocument/2006/relationships/hyperlink" Target="https://www.youtube.com/watch?v=F1sZwkkKcHU" TargetMode="External"/><Relationship Id="rId24" Type="http://schemas.openxmlformats.org/officeDocument/2006/relationships/table" Target="../tables/table4.xml"/><Relationship Id="rId5" Type="http://schemas.openxmlformats.org/officeDocument/2006/relationships/hyperlink" Target="https://www.icmm.com/" TargetMode="External"/><Relationship Id="rId15" Type="http://schemas.openxmlformats.org/officeDocument/2006/relationships/hyperlink" Target="https://gg-producciones.post.pro/review/a76d19440ae3bf15f26c1f71f0d59f0a/version/3/" TargetMode="External"/><Relationship Id="rId23" Type="http://schemas.openxmlformats.org/officeDocument/2006/relationships/table" Target="../tables/table3.xml"/><Relationship Id="rId10" Type="http://schemas.openxmlformats.org/officeDocument/2006/relationships/hyperlink" Target="https://cyanidecode.org/" TargetMode="External"/><Relationship Id="rId19" Type="http://schemas.openxmlformats.org/officeDocument/2006/relationships/hyperlink" Target="https://www.calibremining.com/investors/events/" TargetMode="External"/><Relationship Id="rId4" Type="http://schemas.openxmlformats.org/officeDocument/2006/relationships/hyperlink" Target="https://sdgs.un.org/goals" TargetMode="External"/><Relationship Id="rId9" Type="http://schemas.openxmlformats.org/officeDocument/2006/relationships/hyperlink" Target="https://www.nevadamining.org/" TargetMode="External"/><Relationship Id="rId14" Type="http://schemas.openxmlformats.org/officeDocument/2006/relationships/hyperlink" Target="https://www.youtube.com/watch?v=QjnvSg1Uewo" TargetMode="External"/><Relationship Id="rId22" Type="http://schemas.openxmlformats.org/officeDocument/2006/relationships/table" Target="../tables/table2.xml"/><Relationship Id="rId27"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drawing" Target="../drawings/drawing7.xml"/><Relationship Id="rId7" Type="http://schemas.openxmlformats.org/officeDocument/2006/relationships/table" Target="../tables/table28.xml"/><Relationship Id="rId2" Type="http://schemas.openxmlformats.org/officeDocument/2006/relationships/printerSettings" Target="../printerSettings/printerSettings7.bin"/><Relationship Id="rId1" Type="http://schemas.openxmlformats.org/officeDocument/2006/relationships/hyperlink" Target="https://www.msha.gov/about/mission" TargetMode="External"/><Relationship Id="rId6" Type="http://schemas.openxmlformats.org/officeDocument/2006/relationships/table" Target="../tables/table27.xml"/><Relationship Id="rId5" Type="http://schemas.openxmlformats.org/officeDocument/2006/relationships/table" Target="../tables/table26.xml"/><Relationship Id="rId10" Type="http://schemas.openxmlformats.org/officeDocument/2006/relationships/table" Target="../tables/table31.xml"/><Relationship Id="rId4" Type="http://schemas.openxmlformats.org/officeDocument/2006/relationships/table" Target="../tables/table25.xml"/><Relationship Id="rId9" Type="http://schemas.openxmlformats.org/officeDocument/2006/relationships/table" Target="../tables/table30.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38.xml"/><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 Id="rId9" Type="http://schemas.openxmlformats.org/officeDocument/2006/relationships/table" Target="../tables/table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13F1C-97E6-46A6-8171-740CE6DDD09C}">
  <sheetPr>
    <tabColor rgb="FF013248"/>
    <pageSetUpPr fitToPage="1"/>
  </sheetPr>
  <dimension ref="B1:E90"/>
  <sheetViews>
    <sheetView showGridLines="0" tabSelected="1" zoomScale="90" zoomScaleNormal="90" workbookViewId="0">
      <pane xSplit="1" ySplit="7" topLeftCell="B8" activePane="bottomRight" state="frozen"/>
      <selection pane="topRight" activeCell="B1" sqref="B1"/>
      <selection pane="bottomLeft" activeCell="A15" sqref="A15"/>
      <selection pane="bottomRight" activeCell="G76" sqref="G76"/>
    </sheetView>
  </sheetViews>
  <sheetFormatPr defaultColWidth="11.453125" defaultRowHeight="14" x14ac:dyDescent="0.3"/>
  <cols>
    <col min="1" max="1" width="4" style="37" customWidth="1"/>
    <col min="2" max="2" width="38.1796875" style="37" bestFit="1" customWidth="1"/>
    <col min="3" max="3" width="95.26953125" style="37" customWidth="1"/>
    <col min="4" max="4" width="47.1796875" style="37" customWidth="1"/>
    <col min="5" max="5" width="78.453125" style="37" bestFit="1" customWidth="1"/>
    <col min="6" max="16384" width="11.453125" style="37"/>
  </cols>
  <sheetData>
    <row r="1" spans="2:5" ht="22.5" x14ac:dyDescent="0.45">
      <c r="B1" s="36"/>
    </row>
    <row r="2" spans="2:5" x14ac:dyDescent="0.3">
      <c r="B2" s="38"/>
    </row>
    <row r="3" spans="2:5" ht="118" customHeight="1" x14ac:dyDescent="0.3">
      <c r="B3" s="39"/>
    </row>
    <row r="5" spans="2:5" s="40" customFormat="1" ht="19.5" thickBot="1" x14ac:dyDescent="0.45">
      <c r="B5" s="937" t="s">
        <v>0</v>
      </c>
      <c r="C5" s="937"/>
      <c r="D5" s="937"/>
      <c r="E5" s="937"/>
    </row>
    <row r="6" spans="2:5" s="18" customFormat="1" ht="63" customHeight="1" x14ac:dyDescent="0.3">
      <c r="B6" s="936" t="s">
        <v>1073</v>
      </c>
      <c r="C6" s="936"/>
      <c r="D6" s="936"/>
      <c r="E6" s="936"/>
    </row>
    <row r="7" spans="2:5" s="40" customFormat="1" x14ac:dyDescent="0.3"/>
    <row r="8" spans="2:5" s="40" customFormat="1" ht="17" thickBot="1" x14ac:dyDescent="0.4">
      <c r="B8" s="935" t="s">
        <v>1072</v>
      </c>
      <c r="C8" s="935"/>
      <c r="D8" s="935"/>
      <c r="E8" s="935"/>
    </row>
    <row r="9" spans="2:5" s="41" customFormat="1" x14ac:dyDescent="0.3">
      <c r="B9" s="938" t="s">
        <v>1</v>
      </c>
      <c r="C9" s="938"/>
      <c r="D9" s="938"/>
      <c r="E9" s="938"/>
    </row>
    <row r="10" spans="2:5" s="40" customFormat="1" x14ac:dyDescent="0.3"/>
    <row r="11" spans="2:5" s="40" customFormat="1" ht="17" thickBot="1" x14ac:dyDescent="0.4">
      <c r="B11" s="935" t="s">
        <v>2</v>
      </c>
      <c r="C11" s="935"/>
      <c r="D11" s="935"/>
      <c r="E11" s="935"/>
    </row>
    <row r="12" spans="2:5" s="41" customFormat="1" ht="73.5" customHeight="1" x14ac:dyDescent="0.3">
      <c r="B12" s="936" t="s">
        <v>1262</v>
      </c>
      <c r="C12" s="936"/>
      <c r="D12" s="936"/>
      <c r="E12" s="936"/>
    </row>
    <row r="13" spans="2:5" s="40" customFormat="1" x14ac:dyDescent="0.3"/>
    <row r="14" spans="2:5" s="40" customFormat="1" ht="17" thickBot="1" x14ac:dyDescent="0.4">
      <c r="B14" s="935" t="s">
        <v>3</v>
      </c>
      <c r="C14" s="935"/>
      <c r="D14" s="935"/>
      <c r="E14" s="935"/>
    </row>
    <row r="15" spans="2:5" s="41" customFormat="1" ht="110.25" customHeight="1" x14ac:dyDescent="0.3">
      <c r="B15" s="936" t="s">
        <v>1263</v>
      </c>
      <c r="C15" s="936"/>
      <c r="D15" s="936"/>
      <c r="E15" s="936"/>
    </row>
    <row r="16" spans="2:5" s="40" customFormat="1" x14ac:dyDescent="0.3"/>
    <row r="17" spans="2:5" s="40" customFormat="1" ht="17" thickBot="1" x14ac:dyDescent="0.4">
      <c r="B17" s="935" t="s">
        <v>4</v>
      </c>
      <c r="C17" s="935"/>
      <c r="D17" s="935"/>
      <c r="E17" s="935"/>
    </row>
    <row r="18" spans="2:5" s="18" customFormat="1" x14ac:dyDescent="0.3">
      <c r="B18" s="936" t="s">
        <v>5</v>
      </c>
      <c r="C18" s="936"/>
      <c r="D18" s="936"/>
      <c r="E18" s="936"/>
    </row>
    <row r="19" spans="2:5" x14ac:dyDescent="0.3">
      <c r="B19" s="43"/>
      <c r="C19" s="43"/>
      <c r="D19" s="43"/>
      <c r="E19" s="43"/>
    </row>
    <row r="20" spans="2:5" s="44" customFormat="1" ht="13.5" customHeight="1" x14ac:dyDescent="0.35">
      <c r="B20" s="144" t="s">
        <v>6</v>
      </c>
      <c r="C20" s="144" t="s">
        <v>7</v>
      </c>
      <c r="D20" s="144" t="s">
        <v>8</v>
      </c>
      <c r="E20" s="144" t="s">
        <v>9</v>
      </c>
    </row>
    <row r="21" spans="2:5" s="42" customFormat="1" ht="13.5" customHeight="1" x14ac:dyDescent="0.35">
      <c r="B21" s="145" t="s">
        <v>10</v>
      </c>
      <c r="C21" s="145" t="s">
        <v>12</v>
      </c>
      <c r="D21" s="358" t="s">
        <v>13</v>
      </c>
      <c r="E21" s="358" t="s">
        <v>1071</v>
      </c>
    </row>
    <row r="22" spans="2:5" s="42" customFormat="1" ht="13.5" customHeight="1" x14ac:dyDescent="0.35">
      <c r="B22" s="145" t="s">
        <v>10</v>
      </c>
      <c r="C22" s="145" t="s">
        <v>865</v>
      </c>
      <c r="D22" s="358" t="s">
        <v>14</v>
      </c>
      <c r="E22" s="358" t="s">
        <v>15</v>
      </c>
    </row>
    <row r="23" spans="2:5" s="42" customFormat="1" ht="13.5" customHeight="1" x14ac:dyDescent="0.35">
      <c r="B23" s="145" t="s">
        <v>10</v>
      </c>
      <c r="C23" s="145" t="s">
        <v>16</v>
      </c>
      <c r="D23" s="358" t="s">
        <v>17</v>
      </c>
      <c r="E23" s="358" t="s">
        <v>18</v>
      </c>
    </row>
    <row r="24" spans="2:5" s="42" customFormat="1" ht="13.5" customHeight="1" x14ac:dyDescent="0.35">
      <c r="B24" s="145" t="s">
        <v>10</v>
      </c>
      <c r="C24" s="145" t="s">
        <v>19</v>
      </c>
      <c r="D24" s="358" t="s">
        <v>20</v>
      </c>
      <c r="E24" s="358" t="s">
        <v>1070</v>
      </c>
    </row>
    <row r="25" spans="2:5" s="42" customFormat="1" ht="13.5" customHeight="1" x14ac:dyDescent="0.35">
      <c r="B25" s="145" t="s">
        <v>10</v>
      </c>
      <c r="C25" s="145" t="s">
        <v>21</v>
      </c>
      <c r="D25" s="358" t="s">
        <v>22</v>
      </c>
      <c r="E25" s="358" t="s">
        <v>23</v>
      </c>
    </row>
    <row r="26" spans="2:5" s="42" customFormat="1" ht="13.5" customHeight="1" x14ac:dyDescent="0.35">
      <c r="B26" s="145" t="s">
        <v>39</v>
      </c>
      <c r="C26" s="145" t="s">
        <v>1204</v>
      </c>
      <c r="D26" s="358" t="s">
        <v>1069</v>
      </c>
      <c r="E26" s="358" t="s">
        <v>1068</v>
      </c>
    </row>
    <row r="27" spans="2:5" s="42" customFormat="1" ht="13.5" customHeight="1" x14ac:dyDescent="0.35">
      <c r="B27" s="145" t="s">
        <v>40</v>
      </c>
      <c r="C27" s="145" t="s">
        <v>41</v>
      </c>
      <c r="D27" s="358" t="s">
        <v>1067</v>
      </c>
      <c r="E27" s="358" t="s">
        <v>1061</v>
      </c>
    </row>
    <row r="28" spans="2:5" s="42" customFormat="1" ht="13.5" customHeight="1" x14ac:dyDescent="0.35">
      <c r="B28" s="145" t="s">
        <v>40</v>
      </c>
      <c r="C28" s="145" t="s">
        <v>1066</v>
      </c>
      <c r="D28" s="358" t="s">
        <v>42</v>
      </c>
      <c r="E28" s="358" t="s">
        <v>1061</v>
      </c>
    </row>
    <row r="29" spans="2:5" s="42" customFormat="1" ht="13.5" customHeight="1" x14ac:dyDescent="0.35">
      <c r="B29" s="145" t="s">
        <v>40</v>
      </c>
      <c r="C29" s="145" t="s">
        <v>1065</v>
      </c>
      <c r="D29" s="358" t="s">
        <v>43</v>
      </c>
      <c r="E29" s="358" t="s">
        <v>1061</v>
      </c>
    </row>
    <row r="30" spans="2:5" s="42" customFormat="1" ht="13.5" customHeight="1" x14ac:dyDescent="0.35">
      <c r="B30" s="145" t="s">
        <v>40</v>
      </c>
      <c r="C30" s="145" t="s">
        <v>1064</v>
      </c>
      <c r="D30" s="358" t="s">
        <v>44</v>
      </c>
      <c r="E30" s="358" t="s">
        <v>1061</v>
      </c>
    </row>
    <row r="31" spans="2:5" s="42" customFormat="1" ht="13.5" customHeight="1" x14ac:dyDescent="0.35">
      <c r="B31" s="145" t="s">
        <v>40</v>
      </c>
      <c r="C31" s="145" t="s">
        <v>1063</v>
      </c>
      <c r="D31" s="358" t="s">
        <v>1062</v>
      </c>
      <c r="E31" s="358" t="s">
        <v>1061</v>
      </c>
    </row>
    <row r="32" spans="2:5" s="42" customFormat="1" ht="13.5" customHeight="1" x14ac:dyDescent="0.35">
      <c r="B32" s="145" t="s">
        <v>45</v>
      </c>
      <c r="C32" s="145" t="s">
        <v>46</v>
      </c>
      <c r="D32" s="358" t="s">
        <v>1258</v>
      </c>
      <c r="E32" s="358" t="s">
        <v>1056</v>
      </c>
    </row>
    <row r="33" spans="2:5" s="42" customFormat="1" ht="13.5" customHeight="1" x14ac:dyDescent="0.35">
      <c r="B33" s="145" t="s">
        <v>45</v>
      </c>
      <c r="C33" s="145" t="s">
        <v>47</v>
      </c>
      <c r="D33" s="358" t="s">
        <v>1060</v>
      </c>
      <c r="E33" s="358" t="s">
        <v>1056</v>
      </c>
    </row>
    <row r="34" spans="2:5" s="42" customFormat="1" ht="13.5" customHeight="1" x14ac:dyDescent="0.35">
      <c r="B34" s="145" t="s">
        <v>45</v>
      </c>
      <c r="C34" s="145" t="s">
        <v>48</v>
      </c>
      <c r="D34" s="358" t="s">
        <v>49</v>
      </c>
      <c r="E34" s="358" t="s">
        <v>1056</v>
      </c>
    </row>
    <row r="35" spans="2:5" s="42" customFormat="1" ht="13.5" customHeight="1" x14ac:dyDescent="0.35">
      <c r="B35" s="145" t="s">
        <v>45</v>
      </c>
      <c r="C35" s="145" t="s">
        <v>1059</v>
      </c>
      <c r="D35" s="358" t="s">
        <v>1058</v>
      </c>
      <c r="E35" s="358" t="s">
        <v>1056</v>
      </c>
    </row>
    <row r="36" spans="2:5" s="42" customFormat="1" ht="13.5" customHeight="1" x14ac:dyDescent="0.35">
      <c r="B36" s="145" t="s">
        <v>45</v>
      </c>
      <c r="C36" s="145" t="s">
        <v>50</v>
      </c>
      <c r="D36" s="358" t="s">
        <v>1057</v>
      </c>
      <c r="E36" s="358" t="s">
        <v>1056</v>
      </c>
    </row>
    <row r="37" spans="2:5" s="42" customFormat="1" ht="13.5" customHeight="1" x14ac:dyDescent="0.35">
      <c r="B37" s="145" t="s">
        <v>51</v>
      </c>
      <c r="C37" s="145" t="s">
        <v>52</v>
      </c>
      <c r="D37" s="358" t="s">
        <v>53</v>
      </c>
      <c r="E37" s="358" t="s">
        <v>1055</v>
      </c>
    </row>
    <row r="38" spans="2:5" s="42" customFormat="1" ht="13.5" customHeight="1" x14ac:dyDescent="0.35">
      <c r="B38" s="145" t="s">
        <v>51</v>
      </c>
      <c r="C38" s="145" t="s">
        <v>54</v>
      </c>
      <c r="D38" s="358" t="s">
        <v>1054</v>
      </c>
      <c r="E38" s="358" t="s">
        <v>1051</v>
      </c>
    </row>
    <row r="39" spans="2:5" s="42" customFormat="1" ht="13.5" customHeight="1" x14ac:dyDescent="0.35">
      <c r="B39" s="145" t="s">
        <v>51</v>
      </c>
      <c r="C39" s="145" t="s">
        <v>867</v>
      </c>
      <c r="D39" s="358" t="s">
        <v>1053</v>
      </c>
      <c r="E39" s="358" t="s">
        <v>1051</v>
      </c>
    </row>
    <row r="40" spans="2:5" s="42" customFormat="1" ht="13.5" customHeight="1" x14ac:dyDescent="0.35">
      <c r="B40" s="145" t="s">
        <v>51</v>
      </c>
      <c r="C40" s="145" t="s">
        <v>869</v>
      </c>
      <c r="D40" s="358" t="s">
        <v>1052</v>
      </c>
      <c r="E40" s="358" t="s">
        <v>1051</v>
      </c>
    </row>
    <row r="41" spans="2:5" s="42" customFormat="1" ht="13.5" customHeight="1" x14ac:dyDescent="0.35">
      <c r="B41" s="145" t="s">
        <v>51</v>
      </c>
      <c r="C41" s="145" t="s">
        <v>55</v>
      </c>
      <c r="D41" s="358" t="s">
        <v>56</v>
      </c>
      <c r="E41" s="358" t="s">
        <v>1051</v>
      </c>
    </row>
    <row r="42" spans="2:5" s="42" customFormat="1" ht="13.5" customHeight="1" x14ac:dyDescent="0.35">
      <c r="B42" s="145" t="s">
        <v>51</v>
      </c>
      <c r="C42" s="145" t="s">
        <v>57</v>
      </c>
      <c r="D42" s="358" t="s">
        <v>58</v>
      </c>
      <c r="E42" s="358" t="s">
        <v>1051</v>
      </c>
    </row>
    <row r="43" spans="2:5" s="42" customFormat="1" ht="13.5" customHeight="1" x14ac:dyDescent="0.35">
      <c r="B43" s="145" t="s">
        <v>51</v>
      </c>
      <c r="C43" s="145" t="s">
        <v>59</v>
      </c>
      <c r="D43" s="358" t="s">
        <v>60</v>
      </c>
      <c r="E43" s="358" t="s">
        <v>1051</v>
      </c>
    </row>
    <row r="44" spans="2:5" s="42" customFormat="1" ht="13.5" customHeight="1" x14ac:dyDescent="0.35">
      <c r="B44" s="145" t="s">
        <v>61</v>
      </c>
      <c r="C44" s="145" t="s">
        <v>1050</v>
      </c>
      <c r="D44" s="358" t="s">
        <v>1049</v>
      </c>
      <c r="E44" s="358" t="s">
        <v>1046</v>
      </c>
    </row>
    <row r="45" spans="2:5" s="42" customFormat="1" ht="13.5" customHeight="1" x14ac:dyDescent="0.35">
      <c r="B45" s="145" t="s">
        <v>61</v>
      </c>
      <c r="C45" s="145" t="s">
        <v>62</v>
      </c>
      <c r="D45" s="358" t="s">
        <v>63</v>
      </c>
      <c r="E45" s="358" t="s">
        <v>1046</v>
      </c>
    </row>
    <row r="46" spans="2:5" s="42" customFormat="1" ht="13.5" customHeight="1" x14ac:dyDescent="0.35">
      <c r="B46" s="145" t="s">
        <v>61</v>
      </c>
      <c r="C46" s="145" t="s">
        <v>903</v>
      </c>
      <c r="D46" s="358" t="s">
        <v>1048</v>
      </c>
      <c r="E46" s="358" t="s">
        <v>1046</v>
      </c>
    </row>
    <row r="47" spans="2:5" s="42" customFormat="1" ht="13.5" customHeight="1" x14ac:dyDescent="0.35">
      <c r="B47" s="145" t="s">
        <v>61</v>
      </c>
      <c r="C47" s="145" t="s">
        <v>904</v>
      </c>
      <c r="D47" s="358" t="s">
        <v>1047</v>
      </c>
      <c r="E47" s="358" t="s">
        <v>1046</v>
      </c>
    </row>
    <row r="48" spans="2:5" s="42" customFormat="1" ht="13.5" customHeight="1" x14ac:dyDescent="0.35">
      <c r="B48" s="145" t="s">
        <v>61</v>
      </c>
      <c r="C48" s="146" t="s">
        <v>1126</v>
      </c>
      <c r="D48" s="358" t="s">
        <v>1128</v>
      </c>
      <c r="E48" s="358" t="s">
        <v>1046</v>
      </c>
    </row>
    <row r="49" spans="2:5" s="42" customFormat="1" ht="13.5" customHeight="1" x14ac:dyDescent="0.35">
      <c r="B49" s="145" t="s">
        <v>61</v>
      </c>
      <c r="C49" s="145" t="s">
        <v>905</v>
      </c>
      <c r="D49" s="358" t="s">
        <v>1045</v>
      </c>
      <c r="E49" s="358" t="s">
        <v>1046</v>
      </c>
    </row>
    <row r="50" spans="2:5" s="42" customFormat="1" ht="13.5" customHeight="1" x14ac:dyDescent="0.35">
      <c r="B50" s="145" t="s">
        <v>61</v>
      </c>
      <c r="C50" s="145" t="s">
        <v>906</v>
      </c>
      <c r="D50" s="358" t="s">
        <v>1044</v>
      </c>
      <c r="E50" s="358" t="s">
        <v>1046</v>
      </c>
    </row>
    <row r="51" spans="2:5" s="42" customFormat="1" ht="13.5" customHeight="1" x14ac:dyDescent="0.35">
      <c r="B51" s="145" t="s">
        <v>64</v>
      </c>
      <c r="C51" s="145" t="s">
        <v>65</v>
      </c>
      <c r="D51" s="358" t="s">
        <v>1043</v>
      </c>
      <c r="E51" s="358" t="s">
        <v>1040</v>
      </c>
    </row>
    <row r="52" spans="2:5" s="42" customFormat="1" ht="13.5" customHeight="1" x14ac:dyDescent="0.35">
      <c r="B52" s="145" t="s">
        <v>64</v>
      </c>
      <c r="C52" s="145" t="s">
        <v>1042</v>
      </c>
      <c r="D52" s="358" t="s">
        <v>66</v>
      </c>
      <c r="E52" s="358" t="s">
        <v>1040</v>
      </c>
    </row>
    <row r="53" spans="2:5" s="42" customFormat="1" ht="13.5" customHeight="1" x14ac:dyDescent="0.35">
      <c r="B53" s="145" t="s">
        <v>64</v>
      </c>
      <c r="C53" s="145" t="s">
        <v>67</v>
      </c>
      <c r="D53" s="358" t="s">
        <v>68</v>
      </c>
      <c r="E53" s="358" t="s">
        <v>1040</v>
      </c>
    </row>
    <row r="54" spans="2:5" s="42" customFormat="1" ht="13.5" customHeight="1" x14ac:dyDescent="0.35">
      <c r="B54" s="145" t="s">
        <v>64</v>
      </c>
      <c r="C54" s="145" t="s">
        <v>69</v>
      </c>
      <c r="D54" s="358" t="s">
        <v>70</v>
      </c>
      <c r="E54" s="358" t="s">
        <v>1040</v>
      </c>
    </row>
    <row r="55" spans="2:5" s="42" customFormat="1" ht="13.5" customHeight="1" x14ac:dyDescent="0.35">
      <c r="B55" s="145" t="s">
        <v>64</v>
      </c>
      <c r="C55" s="145" t="s">
        <v>71</v>
      </c>
      <c r="D55" s="358" t="s">
        <v>72</v>
      </c>
      <c r="E55" s="358" t="s">
        <v>1040</v>
      </c>
    </row>
    <row r="56" spans="2:5" s="42" customFormat="1" ht="13.5" customHeight="1" x14ac:dyDescent="0.35">
      <c r="B56" s="145" t="s">
        <v>64</v>
      </c>
      <c r="C56" s="145" t="s">
        <v>73</v>
      </c>
      <c r="D56" s="358" t="s">
        <v>74</v>
      </c>
      <c r="E56" s="358" t="s">
        <v>1040</v>
      </c>
    </row>
    <row r="57" spans="2:5" s="42" customFormat="1" ht="13.5" customHeight="1" x14ac:dyDescent="0.35">
      <c r="B57" s="145" t="s">
        <v>64</v>
      </c>
      <c r="C57" s="145" t="s">
        <v>75</v>
      </c>
      <c r="D57" s="358" t="s">
        <v>1041</v>
      </c>
      <c r="E57" s="358" t="s">
        <v>1040</v>
      </c>
    </row>
    <row r="58" spans="2:5" s="42" customFormat="1" ht="13.5" customHeight="1" x14ac:dyDescent="0.35">
      <c r="B58" s="145" t="s">
        <v>76</v>
      </c>
      <c r="C58" s="145" t="s">
        <v>77</v>
      </c>
      <c r="D58" s="358" t="s">
        <v>1039</v>
      </c>
      <c r="E58" s="358" t="s">
        <v>1033</v>
      </c>
    </row>
    <row r="59" spans="2:5" s="42" customFormat="1" ht="13.5" customHeight="1" x14ac:dyDescent="0.35">
      <c r="B59" s="145" t="s">
        <v>76</v>
      </c>
      <c r="C59" s="145" t="s">
        <v>78</v>
      </c>
      <c r="D59" s="358" t="s">
        <v>79</v>
      </c>
      <c r="E59" s="358" t="s">
        <v>1038</v>
      </c>
    </row>
    <row r="60" spans="2:5" s="42" customFormat="1" ht="13.5" customHeight="1" x14ac:dyDescent="0.35">
      <c r="B60" s="145" t="s">
        <v>76</v>
      </c>
      <c r="C60" s="145" t="s">
        <v>80</v>
      </c>
      <c r="D60" s="358" t="s">
        <v>1036</v>
      </c>
      <c r="E60" s="358" t="s">
        <v>1177</v>
      </c>
    </row>
    <row r="61" spans="2:5" s="42" customFormat="1" ht="13.5" customHeight="1" x14ac:dyDescent="0.35">
      <c r="B61" s="145" t="s">
        <v>76</v>
      </c>
      <c r="C61" s="145" t="s">
        <v>81</v>
      </c>
      <c r="D61" s="358" t="s">
        <v>1036</v>
      </c>
      <c r="E61" s="358" t="s">
        <v>1033</v>
      </c>
    </row>
    <row r="62" spans="2:5" s="42" customFormat="1" ht="13.5" customHeight="1" x14ac:dyDescent="0.35">
      <c r="B62" s="145" t="s">
        <v>76</v>
      </c>
      <c r="C62" s="145" t="s">
        <v>1037</v>
      </c>
      <c r="D62" s="358" t="s">
        <v>1036</v>
      </c>
      <c r="E62" s="358" t="s">
        <v>1178</v>
      </c>
    </row>
    <row r="63" spans="2:5" s="42" customFormat="1" ht="13.5" customHeight="1" x14ac:dyDescent="0.35">
      <c r="B63" s="145" t="s">
        <v>76</v>
      </c>
      <c r="C63" s="145" t="s">
        <v>999</v>
      </c>
      <c r="D63" s="358" t="s">
        <v>82</v>
      </c>
      <c r="E63" s="358" t="s">
        <v>1033</v>
      </c>
    </row>
    <row r="64" spans="2:5" s="42" customFormat="1" ht="13.5" customHeight="1" x14ac:dyDescent="0.35">
      <c r="B64" s="145" t="s">
        <v>76</v>
      </c>
      <c r="C64" s="145" t="s">
        <v>1035</v>
      </c>
      <c r="D64" s="358" t="s">
        <v>1034</v>
      </c>
      <c r="E64" s="358" t="s">
        <v>1033</v>
      </c>
    </row>
    <row r="65" spans="2:5" s="42" customFormat="1" ht="13.5" customHeight="1" x14ac:dyDescent="0.35">
      <c r="B65" s="145" t="s">
        <v>83</v>
      </c>
      <c r="C65" s="145" t="s">
        <v>84</v>
      </c>
      <c r="D65" s="358" t="s">
        <v>85</v>
      </c>
      <c r="E65" s="358" t="s">
        <v>1179</v>
      </c>
    </row>
    <row r="66" spans="2:5" s="42" customFormat="1" ht="13.5" customHeight="1" x14ac:dyDescent="0.35">
      <c r="B66" s="145" t="s">
        <v>83</v>
      </c>
      <c r="C66" s="145" t="s">
        <v>86</v>
      </c>
      <c r="D66" s="358" t="s">
        <v>87</v>
      </c>
      <c r="E66" s="358" t="s">
        <v>1180</v>
      </c>
    </row>
    <row r="67" spans="2:5" s="42" customFormat="1" ht="13.5" customHeight="1" x14ac:dyDescent="0.35">
      <c r="B67" s="145" t="s">
        <v>83</v>
      </c>
      <c r="C67" s="145" t="s">
        <v>88</v>
      </c>
      <c r="D67" s="358" t="s">
        <v>1032</v>
      </c>
      <c r="E67" s="358" t="s">
        <v>1029</v>
      </c>
    </row>
    <row r="68" spans="2:5" s="42" customFormat="1" ht="13.5" customHeight="1" x14ac:dyDescent="0.35">
      <c r="B68" s="145" t="s">
        <v>83</v>
      </c>
      <c r="C68" s="145" t="s">
        <v>89</v>
      </c>
      <c r="D68" s="358" t="s">
        <v>1031</v>
      </c>
      <c r="E68" s="358" t="s">
        <v>1029</v>
      </c>
    </row>
    <row r="69" spans="2:5" s="42" customFormat="1" ht="13.5" customHeight="1" x14ac:dyDescent="0.35">
      <c r="B69" s="145" t="s">
        <v>83</v>
      </c>
      <c r="C69" s="145" t="s">
        <v>90</v>
      </c>
      <c r="D69" s="358" t="s">
        <v>1030</v>
      </c>
      <c r="E69" s="358" t="s">
        <v>1029</v>
      </c>
    </row>
    <row r="70" spans="2:5" s="42" customFormat="1" ht="13.5" customHeight="1" x14ac:dyDescent="0.35">
      <c r="B70" s="145" t="s">
        <v>91</v>
      </c>
      <c r="C70" s="145" t="s">
        <v>957</v>
      </c>
      <c r="D70" s="358" t="s">
        <v>1028</v>
      </c>
      <c r="E70" s="358" t="s">
        <v>1181</v>
      </c>
    </row>
    <row r="71" spans="2:5" s="42" customFormat="1" ht="13.5" customHeight="1" x14ac:dyDescent="0.35">
      <c r="B71" s="145" t="s">
        <v>96</v>
      </c>
      <c r="C71" s="145" t="s">
        <v>97</v>
      </c>
      <c r="D71" s="358" t="s">
        <v>1027</v>
      </c>
      <c r="E71" s="358" t="s">
        <v>1182</v>
      </c>
    </row>
    <row r="72" spans="2:5" s="42" customFormat="1" ht="13.5" customHeight="1" x14ac:dyDescent="0.35">
      <c r="B72" s="145" t="s">
        <v>96</v>
      </c>
      <c r="C72" s="145" t="s">
        <v>98</v>
      </c>
      <c r="D72" s="358" t="s">
        <v>99</v>
      </c>
      <c r="E72" s="358" t="s">
        <v>1183</v>
      </c>
    </row>
    <row r="73" spans="2:5" s="42" customFormat="1" ht="13.5" customHeight="1" x14ac:dyDescent="0.35">
      <c r="B73" s="145" t="s">
        <v>100</v>
      </c>
      <c r="C73" s="145" t="s">
        <v>101</v>
      </c>
      <c r="D73" s="358" t="s">
        <v>102</v>
      </c>
      <c r="E73" s="358" t="s">
        <v>1024</v>
      </c>
    </row>
    <row r="74" spans="2:5" s="42" customFormat="1" ht="13.5" customHeight="1" x14ac:dyDescent="0.35">
      <c r="B74" s="145" t="s">
        <v>100</v>
      </c>
      <c r="C74" s="145" t="s">
        <v>103</v>
      </c>
      <c r="D74" s="358" t="s">
        <v>104</v>
      </c>
      <c r="E74" s="358" t="s">
        <v>1184</v>
      </c>
    </row>
    <row r="75" spans="2:5" s="42" customFormat="1" ht="13.5" customHeight="1" x14ac:dyDescent="0.35">
      <c r="B75" s="145" t="s">
        <v>100</v>
      </c>
      <c r="C75" s="145" t="s">
        <v>106</v>
      </c>
      <c r="D75" s="358" t="s">
        <v>107</v>
      </c>
      <c r="E75" s="358" t="s">
        <v>1185</v>
      </c>
    </row>
    <row r="76" spans="2:5" s="42" customFormat="1" ht="13.5" customHeight="1" x14ac:dyDescent="0.35">
      <c r="B76" s="145" t="s">
        <v>100</v>
      </c>
      <c r="C76" s="145" t="s">
        <v>1208</v>
      </c>
      <c r="D76" s="358" t="s">
        <v>105</v>
      </c>
      <c r="E76" s="358" t="s">
        <v>1186</v>
      </c>
    </row>
    <row r="77" spans="2:5" s="42" customFormat="1" ht="13.5" customHeight="1" x14ac:dyDescent="0.35">
      <c r="B77" s="145" t="s">
        <v>100</v>
      </c>
      <c r="C77" s="145" t="s">
        <v>108</v>
      </c>
      <c r="D77" s="358" t="s">
        <v>1026</v>
      </c>
      <c r="E77" s="358" t="s">
        <v>1024</v>
      </c>
    </row>
    <row r="78" spans="2:5" s="42" customFormat="1" ht="13.5" customHeight="1" x14ac:dyDescent="0.35">
      <c r="B78" s="145" t="s">
        <v>100</v>
      </c>
      <c r="C78" s="145" t="s">
        <v>1003</v>
      </c>
      <c r="D78" s="358" t="s">
        <v>1025</v>
      </c>
      <c r="E78" s="358" t="s">
        <v>1024</v>
      </c>
    </row>
    <row r="79" spans="2:5" s="42" customFormat="1" ht="13.5" customHeight="1" x14ac:dyDescent="0.35">
      <c r="B79" s="145" t="s">
        <v>24</v>
      </c>
      <c r="C79" s="145" t="s">
        <v>1023</v>
      </c>
      <c r="D79" s="358" t="s">
        <v>26</v>
      </c>
      <c r="E79" s="358" t="s">
        <v>1021</v>
      </c>
    </row>
    <row r="80" spans="2:5" s="42" customFormat="1" ht="13.5" customHeight="1" x14ac:dyDescent="0.35">
      <c r="B80" s="145" t="s">
        <v>24</v>
      </c>
      <c r="C80" s="145" t="s">
        <v>1022</v>
      </c>
      <c r="D80" s="358" t="s">
        <v>28</v>
      </c>
      <c r="E80" s="358" t="s">
        <v>1021</v>
      </c>
    </row>
    <row r="81" spans="2:5" s="42" customFormat="1" ht="13.5" customHeight="1" x14ac:dyDescent="0.35">
      <c r="B81" s="145" t="s">
        <v>24</v>
      </c>
      <c r="C81" s="145" t="s">
        <v>29</v>
      </c>
      <c r="D81" s="358" t="s">
        <v>30</v>
      </c>
      <c r="E81" s="358" t="s">
        <v>1021</v>
      </c>
    </row>
    <row r="82" spans="2:5" s="42" customFormat="1" ht="13.5" customHeight="1" x14ac:dyDescent="0.35">
      <c r="B82" s="145" t="s">
        <v>24</v>
      </c>
      <c r="C82" s="145" t="s">
        <v>31</v>
      </c>
      <c r="D82" s="358" t="s">
        <v>32</v>
      </c>
      <c r="E82" s="358" t="s">
        <v>1021</v>
      </c>
    </row>
    <row r="83" spans="2:5" s="42" customFormat="1" ht="13.5" customHeight="1" x14ac:dyDescent="0.35">
      <c r="B83" s="145" t="s">
        <v>849</v>
      </c>
      <c r="C83" s="145" t="s">
        <v>932</v>
      </c>
      <c r="D83" s="358" t="s">
        <v>1020</v>
      </c>
      <c r="E83" s="358" t="s">
        <v>1187</v>
      </c>
    </row>
    <row r="84" spans="2:5" s="42" customFormat="1" ht="13.5" customHeight="1" x14ac:dyDescent="0.35">
      <c r="B84" s="145" t="s">
        <v>33</v>
      </c>
      <c r="C84" s="145" t="s">
        <v>34</v>
      </c>
      <c r="D84" s="358" t="s">
        <v>35</v>
      </c>
      <c r="E84" s="358" t="s">
        <v>1016</v>
      </c>
    </row>
    <row r="85" spans="2:5" s="42" customFormat="1" ht="13.5" customHeight="1" x14ac:dyDescent="0.35">
      <c r="B85" s="145" t="s">
        <v>33</v>
      </c>
      <c r="C85" s="145" t="s">
        <v>960</v>
      </c>
      <c r="D85" s="358" t="s">
        <v>1019</v>
      </c>
      <c r="E85" s="358" t="s">
        <v>1016</v>
      </c>
    </row>
    <row r="86" spans="2:5" s="42" customFormat="1" ht="13.5" customHeight="1" x14ac:dyDescent="0.35">
      <c r="B86" s="145" t="s">
        <v>33</v>
      </c>
      <c r="C86" s="145" t="s">
        <v>1007</v>
      </c>
      <c r="D86" s="358" t="s">
        <v>1018</v>
      </c>
      <c r="E86" s="358" t="s">
        <v>1188</v>
      </c>
    </row>
    <row r="87" spans="2:5" s="42" customFormat="1" ht="13.5" customHeight="1" x14ac:dyDescent="0.35">
      <c r="B87" s="145" t="s">
        <v>33</v>
      </c>
      <c r="C87" s="145" t="s">
        <v>974</v>
      </c>
      <c r="D87" s="358" t="s">
        <v>1017</v>
      </c>
      <c r="E87" s="358" t="s">
        <v>1016</v>
      </c>
    </row>
    <row r="88" spans="2:5" s="42" customFormat="1" ht="13.5" customHeight="1" x14ac:dyDescent="0.35">
      <c r="B88" s="145" t="s">
        <v>36</v>
      </c>
      <c r="C88" s="145" t="s">
        <v>37</v>
      </c>
      <c r="D88" s="358" t="s">
        <v>38</v>
      </c>
      <c r="E88" s="358" t="s">
        <v>1015</v>
      </c>
    </row>
    <row r="89" spans="2:5" s="42" customFormat="1" ht="13.5" customHeight="1" x14ac:dyDescent="0.35">
      <c r="B89" s="145" t="s">
        <v>1012</v>
      </c>
      <c r="C89" s="145" t="s">
        <v>1014</v>
      </c>
      <c r="D89" s="358" t="s">
        <v>11</v>
      </c>
      <c r="E89" s="358" t="s">
        <v>1013</v>
      </c>
    </row>
    <row r="90" spans="2:5" s="42" customFormat="1" ht="13.5" customHeight="1" x14ac:dyDescent="0.35">
      <c r="B90" s="147" t="s">
        <v>1012</v>
      </c>
      <c r="C90" s="147" t="s">
        <v>1011</v>
      </c>
      <c r="D90" s="363" t="s">
        <v>11</v>
      </c>
      <c r="E90" s="363" t="s">
        <v>1010</v>
      </c>
    </row>
  </sheetData>
  <mergeCells count="10">
    <mergeCell ref="B14:E14"/>
    <mergeCell ref="B15:E15"/>
    <mergeCell ref="B17:E17"/>
    <mergeCell ref="B18:E18"/>
    <mergeCell ref="B5:E5"/>
    <mergeCell ref="B6:E6"/>
    <mergeCell ref="B8:E8"/>
    <mergeCell ref="B9:E9"/>
    <mergeCell ref="B11:E11"/>
    <mergeCell ref="B12:E12"/>
  </mergeCells>
  <hyperlinks>
    <hyperlink ref="B21" location="Overview!A1" display="Overview" xr:uid="{F1F47489-8F2E-4B33-AA6A-965EF9CF55E0}"/>
    <hyperlink ref="B22:B25" location="Overview!A1" display="Overview" xr:uid="{07EFD5D0-BB84-462E-960F-E41943BCD5C1}"/>
    <hyperlink ref="B26" location="'Environmental Mgmt'!A1" display="Environmental Management" xr:uid="{D70E18B5-8B10-440D-894E-9EE7BCBDE84C}"/>
    <hyperlink ref="B27" location="'Water &amp; Effluents'!A1" display="Water and Effluents" xr:uid="{027C77C4-039E-48DE-8C91-97906716568C}"/>
    <hyperlink ref="B28:B31" location="'Water &amp; Effluents'!A1" display="Water and Effluents" xr:uid="{0348CF7C-413D-41C6-9981-D13A9B5B3DA0}"/>
    <hyperlink ref="B32" location="'Waste &amp; Materials'!A1" display="Waste and Materials" xr:uid="{E725DA7B-D487-44BA-AC19-F2E6EF5C4789}"/>
    <hyperlink ref="B33:B36" location="'Waste &amp; Materials'!A1" display="Waste and Materials" xr:uid="{0C4B9C77-7BF5-4683-B936-31B9FBCA91CD}"/>
    <hyperlink ref="B37" location="Biodiversity!A1" display="Biodiversity" xr:uid="{A630A898-07DC-4B32-9185-34BF09CCBEDA}"/>
    <hyperlink ref="B38:B43" location="Biodiversity!A1" display="Biodiversity" xr:uid="{2795E629-4A3E-4730-8CDE-FD3689F75979}"/>
    <hyperlink ref="B44" location="'Climate Change'!A1" display="Climate Change" xr:uid="{F9EC45D5-8F2E-4C6C-9851-243DBE9D19E0}"/>
    <hyperlink ref="B51" location="'Labour Rights'!A1" display="Labour Rights" xr:uid="{0A78469D-4765-4DE5-9A45-5ED0E2088CD2}"/>
    <hyperlink ref="B52:B57" location="'Labour Rights'!A1" display="Labour Rights" xr:uid="{8E93DD82-EB41-44D3-9231-03BC6E8F1239}"/>
    <hyperlink ref="B58" location="'Health &amp; Safety'!A1" display="Health and Safety" xr:uid="{DC41553A-C8BA-4A13-9D3E-3CED904A40B3}"/>
    <hyperlink ref="B59:B64" location="'Health &amp; Safety'!A1" display="Health and Safety" xr:uid="{FCED6F8D-AEFF-4A6F-8FF7-1FB6F09289DC}"/>
    <hyperlink ref="B65" location="'Communities &amp; IPs'!A1" display="Rights of Communties and Indigenous Peoples" xr:uid="{E08F87A8-7890-4AA7-A09C-48D770EDDC76}"/>
    <hyperlink ref="B66:B69" location="'Communities &amp; IPs'!A1" display="Rights of Communties and Indigenous Peoples" xr:uid="{BA95E027-A855-42A6-924B-ADE8C396ED08}"/>
    <hyperlink ref="B70" location="Resettlement!A1" display="Land Acquisition and Resettlement" xr:uid="{6EDC8110-5AFC-4C2F-AFB6-314B6555FB69}"/>
    <hyperlink ref="B71" location="ASM!A1" display="Artisanal and Small-scale Mining" xr:uid="{45C7D442-3B72-4C08-87EE-4AA5E029AE92}"/>
    <hyperlink ref="B72" location="ASM!A1" display="Artisanal and Small-scale Mining" xr:uid="{CA3DFBDE-57A8-4291-9088-F0909208FF07}"/>
    <hyperlink ref="B73" location="'Socio-econ. Contributions'!A1" display="Socio-Economic Contributions" xr:uid="{35AD64FD-13AE-4888-A5ED-D6673B98A2B9}"/>
    <hyperlink ref="B74:B78" location="'Socio-econ. Contributions'!A1" display="Socio-Economic Contributions" xr:uid="{DBF050F0-7A80-4640-9FE0-8812CA05786E}"/>
    <hyperlink ref="B79" location="'CorpGov &amp; Business Ethics'!A1" display="Corporate Governance and Business Ethics" xr:uid="{831EBEF9-0AFF-44F5-BD31-B286F7BEA5CE}"/>
    <hyperlink ref="B80:B82" location="'CorpGov &amp; Business Ethics'!A1" display="Corporate Governance and Business Ethics" xr:uid="{D2F27B38-D3D4-492E-821E-981637E66FE5}"/>
    <hyperlink ref="B83" location="'Tax Transparency'!A1" display="Tax Transparency" xr:uid="{8F28ABA5-A9C4-457B-B29A-DAA1A54A9B94}"/>
    <hyperlink ref="B84" location="'Resp. Procurement'!A1" display="Responsible Procurement" xr:uid="{01128A90-6574-46FB-8F83-6A7023F00E15}"/>
    <hyperlink ref="B85:B87" location="'Resp. Procurement'!A1" display="Responsible Procurement" xr:uid="{B682D5C2-CDCA-4386-AAD2-3C73F84A4B53}"/>
    <hyperlink ref="B88" location="'Security Practices'!A1" display="Security Practices" xr:uid="{7BD77FA2-D6AE-4BDD-8E56-6E4E5BAF2701}"/>
    <hyperlink ref="B89" location="Scorecards!A1" display="Appendixes" xr:uid="{9B7AFAB2-DFA3-4B62-8A21-D8158DBD041F}"/>
    <hyperlink ref="B90" location="Scorecards!A1" display="Appendixes" xr:uid="{8872FB36-BB2A-42E7-81E2-94298101DCDC}"/>
    <hyperlink ref="C21" location="Entities_included_in_the_organization_s_sustainability_reporting" display="Entities included in the organization's sustainability reporting" xr:uid="{E031A78B-7620-4409-B4A4-D497F058A8C3}"/>
    <hyperlink ref="C22" location="Production_of_metal_ores_and_finished_metal_products" display="Production of metal ores and finished metal products" xr:uid="{E4F4486A-4629-4E9E-B549-F540C0EFA814}"/>
    <hyperlink ref="C23" location="Memberships_and_associations" display="Memberships and associations" xr:uid="{BF99D1ED-CD94-41C6-A42B-53BE8DC54F8F}"/>
    <hyperlink ref="C24" location="Approach_to_stakeholder_engagement" display="Approach to stakeholder engagement" xr:uid="{F54B24DC-0451-49EC-B333-3111CDE657F2}"/>
    <hyperlink ref="C25" location="List_of_material_topics" display="List of material topics" xr:uid="{13DE0C9B-1A03-4F14-887A-2687739D4B1F}"/>
    <hyperlink ref="C71" location="Number__and_percentage__of_company_operating_sites_where_ASM_takes_place_on__or_adjacent_to__the_site__the_associated_risks_and_the_actions_taken_to_manage_and_mitigate_these_risks" display="Number (and percentage) of company operating sites where ASM takes place on, or adjacent to, the site; the associated risks and the actions taken to manage and mitigate these risks" xr:uid="{A776CBCC-4B59-4A2F-B023-4E50202D77F0}"/>
    <hyperlink ref="C72" location="Proportion_of_bodies_of_water_with_good_ambient_water_quality" display="Proportion of bodies of water with good ambient water quality" xr:uid="{177016CA-AFB7-463D-9DC4-8038D01FF6B5}"/>
    <hyperlink ref="C37" location="Significant_impacts_of_activities__products_and_services_on_biodiversity" display="Significant impacts of activities, products and services on biodiversity" xr:uid="{2A38B771-B25D-43F7-9C11-5147A0E1408D}"/>
    <hyperlink ref="C38" location="Habitats_protected_or_restored__1" display="Habitats protected or restored" xr:uid="{1651EE04-915C-4BA8-B63C-D37038894214}"/>
    <hyperlink ref="C39" location="IUCN_Red_List_species_and_national_conservation_list_species_with_habitats_in_areas_affected_by_operations" display="IUCN Red List species and national conservation list species with habitats in areas affected by operations" xr:uid="{9673467B-3654-4C8D-B426-D5E619494CD3}"/>
    <hyperlink ref="C40" location="Percentage_of_proved_and_probable_reserves_in_or_near_sites_with_protected_conservation_status_or_endangered_species_habitat" display="Percentage of proved and probable reserves in or near sites with protected conservation status or endangered species habitat" xr:uid="{970A6939-37C1-4DD4-9E88-6E86E107AD09}"/>
    <hyperlink ref="C41" location="Amount_of_land_owned_or_leased__and_managed_for_production_activities_or_extractive_use__disturbed_or_rehabilitated" display="Amount of land owned or leased, and managed for production activities or extractive use, disturbed or rehabilitated" xr:uid="{8D80D055-023D-4340-B324-685FFAFAE0D0}"/>
    <hyperlink ref="C42" location="Number_and_percentage_of_total_sites_identified_as_requiring_biodiversity_management_plans_according_to_stated_criteria__and_number__and_percentage__of_those_sites_with_plans_in_place" display="Number and percentage of total sites identified as requiring biodiversity management plans according to stated criteria, and number (and percentage) of those sites with plans in place" xr:uid="{80A2CA44-7F1C-4CB4-8115-8666D55D25A5}"/>
    <hyperlink ref="C43" location="Number_and_percentage_of_operations_with_closure_plans" display="Number and percentage of operations with closure plans" xr:uid="{F7531337-FC5A-4FC8-BA09-99A1BF25C957}"/>
    <hyperlink ref="C44" location="Energy_consumption_within_the_organization__GJ" display="Energy consumption within the organization " xr:uid="{0CD3B53A-335C-49F6-8D8F-9F75118F13C9}"/>
    <hyperlink ref="C45" location="Energy_intensity" display="Energy intensity" xr:uid="{6A38345F-8010-498C-B7C4-386CA517F475}"/>
    <hyperlink ref="C46" location="Direct__Scope_1__GHG_emissions" display="Direct (Scope 1) GHG emissions" xr:uid="{31B616E4-F0F7-4C39-A4C4-4EA963379ADB}"/>
    <hyperlink ref="C47" location="Energy_indirect__Scope_2__GHG_emissions" display="Energy indirect (Scope 2) GHG emissions" xr:uid="{6A9FAD83-675B-4976-A260-21807B74CFE8}"/>
    <hyperlink ref="C49" location="GHG_emissions_intensity" display="GHG emissions intensity" xr:uid="{40812BAC-A3E8-4DA0-B3CB-A5823A9244C9}"/>
    <hyperlink ref="C50" location="Reduction_of_GHG_emissions" display="Reduction of GHG emissions" xr:uid="{575DF5B0-046F-4C59-9E9D-BFB89574AF02}"/>
    <hyperlink ref="C51" location="Employees" display="Employees" xr:uid="{E48A7570-9456-453E-B2E9-1B8B6D2571CC}"/>
    <hyperlink ref="C52" location="Workers_who_are_not_employees__Contractors" display="Workers who are not employees " xr:uid="{2A83B1F1-F837-4EA6-8B95-4315A42C8D68}"/>
    <hyperlink ref="C53" location="New_employee_hires_and_employee_turnover" display="New employee hires and employee turnover" xr:uid="{3CC5AD3B-2A77-4CAE-A316-31A431F8C54F}"/>
    <hyperlink ref="C54" location="Average_hours_of_training_per_year_per_employee_by_gender" display="Average hours of training per year per employee by gender" xr:uid="{2BC14150-2C4D-449B-8A48-B829A9894168}"/>
    <hyperlink ref="C55" location="Percentage_of_employees_per_employee_category_in_diversity_categories" display="Percentage of employees per employee category in diversity categories" xr:uid="{F53DE3BC-2346-48CF-923D-7BAA869309BA}"/>
    <hyperlink ref="C56" location="Ratio_of_basic_salary_and_remuneration_of_women_to_men" display="Ratio of basic salary and remuneration of women to men" xr:uid="{A59736A4-067E-4562-9176-8FD364DC9433}"/>
    <hyperlink ref="C57" location="Collective_bargaining_agreements" display="Collective bargaining agreements" xr:uid="{F7245CCD-692B-462F-9233-01310D07CCED}"/>
    <hyperlink ref="C70" location="Sites_where_resettlement_took_place__the_number_of_household_resettled_in_each__and_how_their_livelihoods_were_affected_in_the_process" display="Sites where resettlement took place, the number of household resettled in each, and how their livelihoods were affected in the process" xr:uid="{A1448011-EA70-4756-A1EE-7E31F868134A}"/>
    <hyperlink ref="C65" location="Operations_with_local_community_engagement__impact_assessments__and_development_programs" display="Operations with local community engagement, impact assessments, and development programs" xr:uid="{9BFF6A4E-7F52-4351-803D-4EFF1D8C8C98}"/>
    <hyperlink ref="C66" location="Operations_with_significant_actual_and_potential_negative_impacts_on_local_communities" display="Operations with significant actual and potential negative impacts on local communities" xr:uid="{BA5D9C7D-2950-4656-8489-DE1F156ACC4E}"/>
    <hyperlink ref="C67" location="Total_number_of_operations_taking_place_in_or_adjacent_to_Indigenous_Peoples__territories__and_number_and_percentage_of_operations_or_sites_where_there_are_formal_agreements_with_Indigenous_Peoples__communities" display="Total number of operations taking place in or adjacent to Indigenous Peoples' territories, and number and percentage of operations or sites where there are formal agreements with Indigenous Peoples' communities" xr:uid="{D51FE88F-4202-441B-A9D7-4F81EB79F442}"/>
    <hyperlink ref="C68" location="Number_and_description_of_significant_disputes_1__relating_to_land_use__customary_rights_of_local_communities_and_Indigenous_Peoples" display="Number and description of significant disputes relating to land use, customary rights of local communities and Indigenous Peoples" xr:uid="{FBF989D5-E7AC-4199-B2DB-C4D726914C1F}"/>
    <hyperlink ref="C69" location="Extent_to_which_grievance_mechanisms_were_used_to_resolve_disputes_relating_to_land_use__customary_rights_of_local_communities_and_Indigenous_Peoples__and_the_outcomes" display="Extent to which grievance mechanisms were used to resolve disputes relating to land use, customary rights of local communities and Indigenous Peoples, and the outcomes" xr:uid="{9B25CE9F-80CA-4F31-A8D6-DBD5CC7931BD}"/>
    <hyperlink ref="C79" location="Governance_structure_and_composition__diversity_of_governance_bodies" display="Governance structure and composition" xr:uid="{5D37E59E-251D-4C9D-868C-43B5F8FD5483}"/>
    <hyperlink ref="C80" location="Mechanisms_for_seeking_advise_and_raising_concerns" display="Mechanisms for seeking advice and raising concerns" xr:uid="{70A5120F-346A-4A0A-A19B-8346B23F82FF}"/>
    <hyperlink ref="C81" location="Operations_assessed_for_risks_related_to_corruption" display="Operations assessed for risk related to corruption" xr:uid="{76CC2E78-12BC-41AC-8213-AF5BCAD3F4B1}"/>
    <hyperlink ref="C82" location="Communications_and_training_on_anti_corruption_policies_and_procedures" display="Communications and training on anti-corruption policies and procedures" xr:uid="{7FAC1821-E976-4301-B771-0CF079949D79}"/>
    <hyperlink ref="C26" location="Description_of_environmental_management_policies_and_practices__EMPs__for_active_sites" display="Description of environmental management policies and practices (EMPs) for active sites" xr:uid="{CEF50B1D-00DA-4E0A-B717-9B172BBFAEE2}"/>
    <hyperlink ref="C58" location="Worker_1__training_on_occupational_health_and_safety_FY2020_2022" display="Worker training on occupational health and safety" xr:uid="{1D2A62C1-EB2D-4185-B133-1B0CDFCABE28}"/>
    <hyperlink ref="C59" location="Workers_covered_by_an_occupational_health_and_safety_management_system" display="Workers covered by an occupational health and safety management system" xr:uid="{6BA48C75-91C3-4A0A-BFF9-4A25FD66424D}"/>
    <hyperlink ref="C60" location="Employee_data_on_work_related_injuries" display="Employee data on work-related injuries" xr:uid="{B30687B1-68A0-4DEF-A007-AC38DA906B50}"/>
    <hyperlink ref="C61" location="Contractor_data_on_work_related_injuries" display="Contractor data on work-related injuries" xr:uid="{90F7830C-515A-4117-AB76-6BC486198730}"/>
    <hyperlink ref="C62" location="Work_related_hazards_that_pose_a_risk_of_high_consequence_injuries_FY2022__Employees___Contractors" display="Work-related hazards that pose a risk of high-consequence injuries FY2022 (employees + contractors)" xr:uid="{CB1503AB-88E6-4A31-8A62-E9A53B721030}"/>
    <hyperlink ref="C63" location="Employee_and_contractor_data_on_work_related_ill_health" display="Employee and contractor data on work-related ill-health" xr:uid="{887FAB5D-2B47-46F5-A11D-C42F7ABD543A}"/>
    <hyperlink ref="C64" location="H_S_Data_Trailing_FY2020_2022__1" display="H&amp;S Data Trailing FY2020-2022" xr:uid="{64D64D54-2DB8-4A14-AAE1-9F971C60A964}"/>
    <hyperlink ref="C84" location="New_suppliers_that_were_screened_using_environmental___social_criteria" display="New suppliers that were screened using environmental and social criteria" xr:uid="{84BD880E-9AD5-4931-B9DF-522C59D9687B}"/>
    <hyperlink ref="C85" location="Negative_environmental_or_social_impacts_in_the_supply_chain_and_actions_taken" display="Negative environmental or social impacts in the supply chain and actions taken" xr:uid="{589763B7-0278-4D8E-B773-405D9A090B8F}"/>
    <hyperlink ref="C86" location="Training_and_guidance_for_suppliers" display="Training and guidance for suppliers" xr:uid="{E69774E8-C041-41BA-B2DD-2765A8F63BE6}"/>
    <hyperlink ref="C87" location="Anti_corruption_policy_in_procurement_processes_and_suppliers" display="Anti-corruption policy in procurement processes and suppliers" xr:uid="{EBB4CAF6-7F21-4305-A416-A4FD16663F5A}"/>
    <hyperlink ref="C88" location="Security_personnel_trained_in_human_rights_policies_or_procedures" display="Security personnel trained in human rights policies or procedures" xr:uid="{82CAD528-1E45-4E5B-9816-A77D3EAC54D6}"/>
    <hyperlink ref="C73" location="Direct_economic_value_generated_and_distributed___Million_USD" display="Direct economic value generated and distributed" xr:uid="{7E8231AB-C6DF-4413-85B8-87982029AB28}"/>
    <hyperlink ref="C74" location="Ratio_of_basic_salary_and_remuneration_of_women_to_men" display="Ratios of standard entry level wage by gender compared to local minimum wage" xr:uid="{28682818-D4AE-4BCD-8735-B9D6E870D48A}"/>
    <hyperlink ref="C76" location="Infrastructure_investments_and_services_supported" display="Infrastructure investments and services supported" xr:uid="{C7495CE2-CDAD-41F8-B684-60F4839A7E36}"/>
    <hyperlink ref="C75" location="Significant_indirect_economic_impacts" display="Significant indirect economic impacts " xr:uid="{212457FE-ED15-4615-ADDE-60C925A7722C}"/>
    <hyperlink ref="C77" location="Proportion_of_spending_on_local_suppliers" display="Proportion of spending on local suppliers" xr:uid="{B35E3F0F-72B8-4973-9B5F-68493983A2E9}"/>
    <hyperlink ref="C78" location="Categorizing_suppliers" display="Categorizing suppliers" xr:uid="{CA19A6F0-BEB6-41FF-9E21-70177949177D}"/>
    <hyperlink ref="C83" location="Country_by_country_reporting" display="Country-by-country reporting" xr:uid="{467D0E09-D07B-4CCC-B1A5-3616533CC784}"/>
    <hyperlink ref="C89" location="Progress_toward_2022_sustainability_scorecard" display="Progress toward 2022 sustainability targets" xr:uid="{38218E2A-9DE0-4F6B-910C-5A917968CC27}"/>
    <hyperlink ref="C90" location="_2023_Sustainability_scorecard" display="2023 sustainability scorecard" xr:uid="{3B3CE069-5A12-487E-98F5-0A8A816AB51D}"/>
    <hyperlink ref="C32" location="Waste_generated" display="Waste generated" xr:uid="{F9EB0DF7-66F0-4DF8-AFD3-CD6753ACAAA8}"/>
    <hyperlink ref="C33" location="Waste_diverted_from_disposal" display="Waste diverted from disposal" xr:uid="{2BC004E7-6BEC-4FD4-8665-7089B866A445}"/>
    <hyperlink ref="C34" location="Waste_directed_to_disposal" display="Waste directed to disposal" xr:uid="{D6746EA4-00AF-4DBD-9AB0-A35E1E7F5337}"/>
    <hyperlink ref="C35" location="Total_amounts_of_overburden__rock__tailings__and_sludges" display="Total amount of mineral waste and their associated risks" xr:uid="{D6EB3DE0-D8C5-48BC-8485-94F389C9DA12}"/>
    <hyperlink ref="C36" location="Tailings_storage_facility_inventory" display="Tailings storage facility inventory table" xr:uid="{472BAC85-AC80-4AE1-858D-E3D1EE88C1A2}"/>
    <hyperlink ref="C27" location="Potential_risks_to_water_sources" display="Potential risks to water sources" xr:uid="{E851EF7C-F661-41FA-ADA0-478FCAB5907C}"/>
    <hyperlink ref="C28" location="Water_withdrawal_by_source_FY2020_2022__ML" display="Water withdrawal " xr:uid="{E40B3D65-4A85-4469-9540-D8E5D25CE0F0}"/>
    <hyperlink ref="C29" location="Water_discharge_FY2020_2022__ML" display="Water discharge " xr:uid="{12E80FA9-F6B9-46F2-9859-9CC7EB2320FC}"/>
    <hyperlink ref="C30" location="Water_consumption_FY2020_2022__ML" display="Water consumption " xr:uid="{2A8173E4-6F82-4F14-A3A5-3AE55AAAA604}"/>
    <hyperlink ref="C31" location="Water_balance_FY2020_2022__ML" display="Water balance " xr:uid="{43E5846D-DE4D-49B1-8E92-1CAC38477CEF}"/>
    <hyperlink ref="C48" location="GHG_emissions_trail_FY2020_2022" display="GHG emissions trail FY2020-2022" xr:uid="{636DF21F-7BDD-4135-9497-23F459B7BC77}"/>
  </hyperlinks>
  <pageMargins left="0.7" right="0.7" top="0.75" bottom="0.75" header="0.3" footer="0.3"/>
  <pageSetup scale="34"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353A-619E-4CE9-8F4D-FD6CAD8AE215}">
  <dimension ref="A1:AD274"/>
  <sheetViews>
    <sheetView showGridLines="0" zoomScale="90" zoomScaleNormal="90" workbookViewId="0">
      <selection activeCell="A29" sqref="A29"/>
    </sheetView>
  </sheetViews>
  <sheetFormatPr defaultColWidth="11.453125" defaultRowHeight="14" x14ac:dyDescent="0.3"/>
  <cols>
    <col min="1" max="1" width="47.26953125" style="37" customWidth="1"/>
    <col min="2" max="2" width="33.1796875" style="37" customWidth="1"/>
    <col min="3" max="3" width="41.26953125" style="37" bestFit="1" customWidth="1"/>
    <col min="4" max="4" width="40.453125" style="37" bestFit="1" customWidth="1"/>
    <col min="5" max="5" width="24" style="37" bestFit="1" customWidth="1"/>
    <col min="6" max="6" width="27.7265625" style="37" customWidth="1"/>
    <col min="7" max="7" width="37.7265625" style="37" customWidth="1"/>
    <col min="8" max="8" width="67" style="37" bestFit="1" customWidth="1"/>
    <col min="9" max="9" width="29.1796875" style="37" bestFit="1" customWidth="1"/>
    <col min="10" max="10" width="30.81640625" style="37" customWidth="1"/>
    <col min="11" max="11" width="37.81640625" style="37" bestFit="1" customWidth="1"/>
    <col min="12" max="12" width="19.453125" style="37" bestFit="1" customWidth="1"/>
    <col min="13" max="13" width="11" style="37" customWidth="1"/>
    <col min="14" max="14" width="7.7265625" style="37" bestFit="1" customWidth="1"/>
    <col min="15" max="15" width="39.81640625" style="37" customWidth="1"/>
    <col min="16" max="16" width="21.453125" style="37" bestFit="1" customWidth="1"/>
    <col min="17" max="17" width="20.1796875" style="37" bestFit="1" customWidth="1"/>
    <col min="18" max="18" width="38.26953125" style="37" bestFit="1" customWidth="1"/>
    <col min="19" max="19" width="19.7265625" style="37" bestFit="1" customWidth="1"/>
    <col min="20" max="20" width="7.26953125" style="37" bestFit="1" customWidth="1"/>
    <col min="21" max="21" width="4.7265625" style="37" customWidth="1"/>
    <col min="22" max="22" width="67" style="37" bestFit="1" customWidth="1"/>
    <col min="23" max="23" width="25.453125" style="37" customWidth="1"/>
    <col min="24" max="24" width="25.453125" style="37" bestFit="1" customWidth="1"/>
    <col min="25" max="25" width="38.26953125" style="37" bestFit="1" customWidth="1"/>
    <col min="26" max="26" width="19.7265625" style="37" bestFit="1" customWidth="1"/>
    <col min="27" max="16384" width="11.453125" style="37"/>
  </cols>
  <sheetData>
    <row r="1" spans="1:26" s="62" customFormat="1" ht="30" customHeight="1" thickBot="1" x14ac:dyDescent="0.45">
      <c r="A1" s="935" t="s">
        <v>949</v>
      </c>
      <c r="B1" s="935"/>
      <c r="C1" s="935"/>
      <c r="D1" s="935"/>
      <c r="E1" s="935"/>
      <c r="F1" s="935"/>
      <c r="G1" s="935"/>
      <c r="H1" s="935"/>
      <c r="I1" s="935"/>
      <c r="J1" s="935"/>
      <c r="K1" s="935"/>
      <c r="L1" s="935"/>
      <c r="M1" s="15"/>
      <c r="N1" s="98"/>
    </row>
    <row r="2" spans="1:26" x14ac:dyDescent="0.3">
      <c r="A2" s="17" t="s">
        <v>950</v>
      </c>
    </row>
    <row r="4" spans="1:26" s="22" customFormat="1" ht="11.5" x14ac:dyDescent="0.25">
      <c r="A4" s="620" t="s">
        <v>625</v>
      </c>
      <c r="B4" s="23"/>
      <c r="C4" s="23"/>
      <c r="D4" s="23"/>
      <c r="E4" s="35"/>
    </row>
    <row r="5" spans="1:26" s="22" customFormat="1" ht="11.5" x14ac:dyDescent="0.25">
      <c r="A5" s="621" t="s">
        <v>624</v>
      </c>
      <c r="B5" s="23"/>
      <c r="C5" s="33"/>
      <c r="D5" s="35"/>
      <c r="H5" s="621" t="s">
        <v>620</v>
      </c>
      <c r="I5" s="23"/>
      <c r="J5" s="33"/>
      <c r="K5" s="35"/>
      <c r="O5" s="621" t="s">
        <v>621</v>
      </c>
      <c r="P5" s="23"/>
      <c r="Q5" s="33"/>
      <c r="R5" s="35"/>
      <c r="V5" s="621" t="s">
        <v>622</v>
      </c>
      <c r="W5" s="23"/>
      <c r="X5" s="33"/>
      <c r="Y5" s="35"/>
    </row>
    <row r="6" spans="1:26" s="60" customFormat="1" ht="11.5" x14ac:dyDescent="0.25">
      <c r="A6" s="213" t="s">
        <v>275</v>
      </c>
      <c r="B6" s="331" t="s">
        <v>276</v>
      </c>
      <c r="C6" s="331" t="s">
        <v>277</v>
      </c>
      <c r="D6" s="331" t="s">
        <v>278</v>
      </c>
      <c r="E6" s="332" t="s">
        <v>153</v>
      </c>
      <c r="F6" s="100"/>
      <c r="G6" s="100"/>
      <c r="H6" s="213" t="s">
        <v>275</v>
      </c>
      <c r="I6" s="331" t="s">
        <v>276</v>
      </c>
      <c r="J6" s="331" t="s">
        <v>277</v>
      </c>
      <c r="K6" s="331" t="s">
        <v>278</v>
      </c>
      <c r="L6" s="332" t="s">
        <v>153</v>
      </c>
      <c r="O6" s="213" t="s">
        <v>275</v>
      </c>
      <c r="P6" s="331" t="s">
        <v>276</v>
      </c>
      <c r="Q6" s="331" t="s">
        <v>277</v>
      </c>
      <c r="R6" s="331" t="s">
        <v>278</v>
      </c>
      <c r="S6" s="332" t="s">
        <v>153</v>
      </c>
      <c r="V6" s="213" t="s">
        <v>275</v>
      </c>
      <c r="W6" s="331" t="s">
        <v>276</v>
      </c>
      <c r="X6" s="331" t="s">
        <v>277</v>
      </c>
      <c r="Y6" s="331" t="s">
        <v>278</v>
      </c>
      <c r="Z6" s="332" t="s">
        <v>153</v>
      </c>
    </row>
    <row r="7" spans="1:26" s="22" customFormat="1" ht="11.5" x14ac:dyDescent="0.25">
      <c r="A7" s="968" t="s">
        <v>991</v>
      </c>
      <c r="B7" s="969"/>
      <c r="C7" s="969"/>
      <c r="D7" s="969"/>
      <c r="E7" s="970"/>
      <c r="F7" s="625"/>
      <c r="G7" s="625"/>
      <c r="H7" s="622" t="s">
        <v>991</v>
      </c>
      <c r="I7" s="623"/>
      <c r="J7" s="623"/>
      <c r="K7" s="623"/>
      <c r="L7" s="624"/>
      <c r="O7" s="622" t="s">
        <v>991</v>
      </c>
      <c r="P7" s="623"/>
      <c r="Q7" s="623"/>
      <c r="R7" s="623"/>
      <c r="S7" s="624"/>
      <c r="V7" s="622" t="s">
        <v>991</v>
      </c>
      <c r="W7" s="623"/>
      <c r="X7" s="623"/>
      <c r="Y7" s="623"/>
      <c r="Z7" s="624"/>
    </row>
    <row r="8" spans="1:26" s="22" customFormat="1" ht="11.5" x14ac:dyDescent="0.25">
      <c r="A8" s="626">
        <f>SUM(H8+O8+V8)</f>
        <v>199</v>
      </c>
      <c r="B8" s="495">
        <f>SUM(I8+P8+W8)</f>
        <v>1042</v>
      </c>
      <c r="C8" s="495">
        <f>SUM(J8+Q8+X8)</f>
        <v>0</v>
      </c>
      <c r="D8" s="495">
        <f>SUM(K8+R8+Y8)</f>
        <v>0</v>
      </c>
      <c r="E8" s="627">
        <f>SUM(L8+S8+Z8)</f>
        <v>1241</v>
      </c>
      <c r="F8" s="625"/>
      <c r="G8" s="625"/>
      <c r="H8" s="626">
        <v>173</v>
      </c>
      <c r="I8" s="495">
        <v>984</v>
      </c>
      <c r="J8" s="495">
        <v>0</v>
      </c>
      <c r="K8" s="495">
        <v>0</v>
      </c>
      <c r="L8" s="627">
        <f>SUM(H8:K8)</f>
        <v>1157</v>
      </c>
      <c r="O8" s="626">
        <v>19</v>
      </c>
      <c r="P8" s="495">
        <v>50</v>
      </c>
      <c r="Q8" s="495">
        <v>0</v>
      </c>
      <c r="R8" s="495">
        <v>0</v>
      </c>
      <c r="S8" s="627">
        <f>SUM(O8:R8)</f>
        <v>69</v>
      </c>
      <c r="V8" s="626">
        <v>7</v>
      </c>
      <c r="W8" s="495">
        <v>8</v>
      </c>
      <c r="X8" s="495">
        <v>0</v>
      </c>
      <c r="Y8" s="495">
        <v>0</v>
      </c>
      <c r="Z8" s="627">
        <v>15</v>
      </c>
    </row>
    <row r="9" spans="1:26" s="22" customFormat="1" ht="11.5" x14ac:dyDescent="0.25">
      <c r="A9" s="968" t="s">
        <v>992</v>
      </c>
      <c r="B9" s="969"/>
      <c r="C9" s="969"/>
      <c r="D9" s="969"/>
      <c r="E9" s="970"/>
      <c r="F9" s="625"/>
      <c r="G9" s="625"/>
      <c r="H9" s="622" t="s">
        <v>992</v>
      </c>
      <c r="I9" s="623"/>
      <c r="J9" s="623"/>
      <c r="K9" s="623"/>
      <c r="L9" s="624"/>
      <c r="O9" s="622" t="s">
        <v>992</v>
      </c>
      <c r="P9" s="623"/>
      <c r="Q9" s="623"/>
      <c r="R9" s="623"/>
      <c r="S9" s="624"/>
      <c r="V9" s="622" t="s">
        <v>992</v>
      </c>
      <c r="W9" s="623"/>
      <c r="X9" s="623"/>
      <c r="Y9" s="623"/>
      <c r="Z9" s="624"/>
    </row>
    <row r="10" spans="1:26" s="22" customFormat="1" ht="11.5" x14ac:dyDescent="0.25">
      <c r="A10" s="626">
        <f>SUM(H10+O10+V10)</f>
        <v>195</v>
      </c>
      <c r="B10" s="495">
        <f>SUM(I10+P10+W10)</f>
        <v>1000</v>
      </c>
      <c r="C10" s="495">
        <f>SUM(J10+Q10+X10)</f>
        <v>0</v>
      </c>
      <c r="D10" s="495">
        <f>SUM(K10+R10+Y10)</f>
        <v>0</v>
      </c>
      <c r="E10" s="627">
        <f>SUM(A10:D10)</f>
        <v>1195</v>
      </c>
      <c r="F10" s="625"/>
      <c r="G10" s="625"/>
      <c r="H10" s="626">
        <v>169</v>
      </c>
      <c r="I10" s="495">
        <v>942</v>
      </c>
      <c r="J10" s="495">
        <v>0</v>
      </c>
      <c r="K10" s="495">
        <v>0</v>
      </c>
      <c r="L10" s="627">
        <f>SUM(H10:K10)</f>
        <v>1111</v>
      </c>
      <c r="O10" s="626">
        <v>19</v>
      </c>
      <c r="P10" s="495">
        <v>50</v>
      </c>
      <c r="Q10" s="495">
        <v>0</v>
      </c>
      <c r="R10" s="495">
        <v>0</v>
      </c>
      <c r="S10" s="627">
        <f>SUM(O10:R10)</f>
        <v>69</v>
      </c>
      <c r="V10" s="626">
        <v>7</v>
      </c>
      <c r="W10" s="495">
        <v>8</v>
      </c>
      <c r="X10" s="495">
        <v>0</v>
      </c>
      <c r="Y10" s="495">
        <v>0</v>
      </c>
      <c r="Z10" s="627">
        <v>15</v>
      </c>
    </row>
    <row r="11" spans="1:26" s="22" customFormat="1" ht="11.5" x14ac:dyDescent="0.25">
      <c r="A11" s="968" t="s">
        <v>993</v>
      </c>
      <c r="B11" s="969"/>
      <c r="C11" s="969"/>
      <c r="D11" s="969"/>
      <c r="E11" s="970"/>
      <c r="F11" s="625"/>
      <c r="G11" s="625"/>
      <c r="H11" s="622" t="s">
        <v>993</v>
      </c>
      <c r="I11" s="623"/>
      <c r="J11" s="623"/>
      <c r="K11" s="623"/>
      <c r="L11" s="624"/>
      <c r="O11" s="622" t="s">
        <v>993</v>
      </c>
      <c r="P11" s="623"/>
      <c r="Q11" s="623"/>
      <c r="R11" s="623"/>
      <c r="S11" s="624"/>
      <c r="V11" s="622" t="s">
        <v>993</v>
      </c>
      <c r="W11" s="623"/>
      <c r="X11" s="623"/>
      <c r="Y11" s="623"/>
      <c r="Z11" s="624"/>
    </row>
    <row r="12" spans="1:26" s="22" customFormat="1" ht="11.5" x14ac:dyDescent="0.25">
      <c r="A12" s="626">
        <f>SUM(H12+O12+V12)</f>
        <v>4</v>
      </c>
      <c r="B12" s="495">
        <f>SUM(I12+P12+W12)</f>
        <v>42</v>
      </c>
      <c r="C12" s="495">
        <f>SUM(J12+Q12+X12)</f>
        <v>0</v>
      </c>
      <c r="D12" s="495">
        <f>SUM(K12+R12+Y12)</f>
        <v>0</v>
      </c>
      <c r="E12" s="627">
        <f>SUM(A12:D12)</f>
        <v>46</v>
      </c>
      <c r="F12" s="625"/>
      <c r="G12" s="625"/>
      <c r="H12" s="626">
        <v>4</v>
      </c>
      <c r="I12" s="495">
        <v>42</v>
      </c>
      <c r="J12" s="495">
        <v>0</v>
      </c>
      <c r="K12" s="495">
        <v>0</v>
      </c>
      <c r="L12" s="627">
        <f>SUM(H12:K12)</f>
        <v>46</v>
      </c>
      <c r="O12" s="626">
        <v>0</v>
      </c>
      <c r="P12" s="495">
        <v>0</v>
      </c>
      <c r="Q12" s="495">
        <v>0</v>
      </c>
      <c r="R12" s="495">
        <v>0</v>
      </c>
      <c r="S12" s="627">
        <f>SUM(O12:R12)</f>
        <v>0</v>
      </c>
      <c r="V12" s="626">
        <v>0</v>
      </c>
      <c r="W12" s="495">
        <v>0</v>
      </c>
      <c r="X12" s="495">
        <v>0</v>
      </c>
      <c r="Y12" s="495">
        <v>0</v>
      </c>
      <c r="Z12" s="627">
        <v>0</v>
      </c>
    </row>
    <row r="13" spans="1:26" s="22" customFormat="1" ht="11.5" x14ac:dyDescent="0.25">
      <c r="A13" s="968" t="s">
        <v>994</v>
      </c>
      <c r="B13" s="969"/>
      <c r="C13" s="969"/>
      <c r="D13" s="969"/>
      <c r="E13" s="970"/>
      <c r="F13" s="625"/>
      <c r="G13" s="625"/>
      <c r="H13" s="622" t="s">
        <v>994</v>
      </c>
      <c r="I13" s="623"/>
      <c r="J13" s="623"/>
      <c r="K13" s="623"/>
      <c r="L13" s="624"/>
      <c r="O13" s="622" t="s">
        <v>994</v>
      </c>
      <c r="P13" s="623"/>
      <c r="Q13" s="623"/>
      <c r="R13" s="623"/>
      <c r="S13" s="624"/>
      <c r="V13" s="622" t="s">
        <v>994</v>
      </c>
      <c r="W13" s="623"/>
      <c r="X13" s="623"/>
      <c r="Y13" s="623"/>
      <c r="Z13" s="624"/>
    </row>
    <row r="14" spans="1:26" s="22" customFormat="1" ht="11.5" x14ac:dyDescent="0.25">
      <c r="A14" s="626">
        <f>SUM(H14+O14+V14)</f>
        <v>0</v>
      </c>
      <c r="B14" s="495">
        <f>SUM(I14+P14+W14)</f>
        <v>0</v>
      </c>
      <c r="C14" s="495">
        <f>SUM(J14+Q14+X14)</f>
        <v>0</v>
      </c>
      <c r="D14" s="495">
        <f>SUM(K14+R14+Y14)</f>
        <v>0</v>
      </c>
      <c r="E14" s="627">
        <f>SUM(A14:D14)</f>
        <v>0</v>
      </c>
      <c r="F14" s="625"/>
      <c r="G14" s="625"/>
      <c r="H14" s="626">
        <v>0</v>
      </c>
      <c r="I14" s="495">
        <v>0</v>
      </c>
      <c r="J14" s="495">
        <v>0</v>
      </c>
      <c r="K14" s="495">
        <v>0</v>
      </c>
      <c r="L14" s="627">
        <f>SUM(H14:K14)</f>
        <v>0</v>
      </c>
      <c r="O14" s="626">
        <v>0</v>
      </c>
      <c r="P14" s="495">
        <v>0</v>
      </c>
      <c r="Q14" s="495">
        <v>0</v>
      </c>
      <c r="R14" s="495">
        <v>0</v>
      </c>
      <c r="S14" s="627">
        <f>SUM(O14:R14)</f>
        <v>0</v>
      </c>
      <c r="V14" s="626">
        <v>0</v>
      </c>
      <c r="W14" s="495">
        <v>0</v>
      </c>
      <c r="X14" s="495">
        <v>0</v>
      </c>
      <c r="Y14" s="495">
        <v>0</v>
      </c>
      <c r="Z14" s="627">
        <v>0</v>
      </c>
    </row>
    <row r="15" spans="1:26" s="22" customFormat="1" ht="11.5" x14ac:dyDescent="0.25">
      <c r="A15" s="968" t="s">
        <v>995</v>
      </c>
      <c r="B15" s="969"/>
      <c r="C15" s="969"/>
      <c r="D15" s="969"/>
      <c r="E15" s="970"/>
      <c r="F15" s="625"/>
      <c r="G15" s="625"/>
      <c r="H15" s="622" t="s">
        <v>995</v>
      </c>
      <c r="I15" s="623"/>
      <c r="J15" s="623"/>
      <c r="K15" s="623"/>
      <c r="L15" s="624"/>
      <c r="O15" s="622" t="s">
        <v>995</v>
      </c>
      <c r="P15" s="623"/>
      <c r="Q15" s="623"/>
      <c r="R15" s="623"/>
      <c r="S15" s="624"/>
      <c r="V15" s="622" t="s">
        <v>995</v>
      </c>
      <c r="W15" s="623"/>
      <c r="X15" s="623"/>
      <c r="Y15" s="623"/>
      <c r="Z15" s="624"/>
    </row>
    <row r="16" spans="1:26" s="22" customFormat="1" ht="11.5" x14ac:dyDescent="0.25">
      <c r="A16" s="626">
        <f>SUM(H16+O16+V16)</f>
        <v>198</v>
      </c>
      <c r="B16" s="495">
        <f>SUM(I16+P16+W16)</f>
        <v>1042</v>
      </c>
      <c r="C16" s="495">
        <f>SUM(J16+Q16+X16)</f>
        <v>0</v>
      </c>
      <c r="D16" s="495">
        <f>SUM(K16+R16+Y16)</f>
        <v>0</v>
      </c>
      <c r="E16" s="627">
        <f>SUM(A16:D16)</f>
        <v>1240</v>
      </c>
      <c r="F16" s="625"/>
      <c r="G16" s="625"/>
      <c r="H16" s="626">
        <v>173</v>
      </c>
      <c r="I16" s="495">
        <v>984</v>
      </c>
      <c r="J16" s="495">
        <v>0</v>
      </c>
      <c r="K16" s="495">
        <v>0</v>
      </c>
      <c r="L16" s="627">
        <f>SUM(H16:K16)</f>
        <v>1157</v>
      </c>
      <c r="O16" s="626">
        <v>18</v>
      </c>
      <c r="P16" s="495">
        <v>50</v>
      </c>
      <c r="Q16" s="495">
        <v>0</v>
      </c>
      <c r="R16" s="495">
        <v>0</v>
      </c>
      <c r="S16" s="627">
        <f>SUM(O16:R16)</f>
        <v>68</v>
      </c>
      <c r="V16" s="626">
        <v>7</v>
      </c>
      <c r="W16" s="495">
        <v>8</v>
      </c>
      <c r="X16" s="495">
        <v>0</v>
      </c>
      <c r="Y16" s="495">
        <v>0</v>
      </c>
      <c r="Z16" s="627">
        <v>15</v>
      </c>
    </row>
    <row r="17" spans="1:26" s="22" customFormat="1" ht="11.5" x14ac:dyDescent="0.25">
      <c r="A17" s="968" t="s">
        <v>996</v>
      </c>
      <c r="B17" s="969"/>
      <c r="C17" s="969"/>
      <c r="D17" s="969"/>
      <c r="E17" s="970"/>
      <c r="F17" s="625"/>
      <c r="G17" s="625"/>
      <c r="H17" s="622" t="s">
        <v>996</v>
      </c>
      <c r="I17" s="623"/>
      <c r="J17" s="623"/>
      <c r="K17" s="623"/>
      <c r="L17" s="624"/>
      <c r="O17" s="622" t="s">
        <v>996</v>
      </c>
      <c r="P17" s="623"/>
      <c r="Q17" s="623"/>
      <c r="R17" s="623"/>
      <c r="S17" s="624"/>
      <c r="V17" s="622" t="s">
        <v>996</v>
      </c>
      <c r="W17" s="623"/>
      <c r="X17" s="623"/>
      <c r="Y17" s="623"/>
      <c r="Z17" s="624"/>
    </row>
    <row r="18" spans="1:26" s="22" customFormat="1" ht="11.5" x14ac:dyDescent="0.25">
      <c r="A18" s="626">
        <f>SUM(H18+O18+V18)</f>
        <v>1</v>
      </c>
      <c r="B18" s="495">
        <f>SUM(I18+P18+W18)</f>
        <v>0</v>
      </c>
      <c r="C18" s="495">
        <f>SUM(J18+Q18+X18)</f>
        <v>0</v>
      </c>
      <c r="D18" s="495">
        <f>SUM(K18+R18+Y18)</f>
        <v>0</v>
      </c>
      <c r="E18" s="627">
        <f>SUM(A18:D18)</f>
        <v>1</v>
      </c>
      <c r="F18" s="625"/>
      <c r="G18" s="625"/>
      <c r="H18" s="626">
        <v>0</v>
      </c>
      <c r="I18" s="495">
        <v>0</v>
      </c>
      <c r="J18" s="495">
        <v>0</v>
      </c>
      <c r="K18" s="495">
        <v>0</v>
      </c>
      <c r="L18" s="627">
        <f>SUM(H18:K18)</f>
        <v>0</v>
      </c>
      <c r="O18" s="626">
        <v>1</v>
      </c>
      <c r="P18" s="495">
        <v>0</v>
      </c>
      <c r="Q18" s="495">
        <v>0</v>
      </c>
      <c r="R18" s="495">
        <v>0</v>
      </c>
      <c r="S18" s="627">
        <f>SUM(O18:R18)</f>
        <v>1</v>
      </c>
      <c r="V18" s="626">
        <v>0</v>
      </c>
      <c r="W18" s="495">
        <v>0</v>
      </c>
      <c r="X18" s="495">
        <v>0</v>
      </c>
      <c r="Y18" s="495">
        <v>0</v>
      </c>
      <c r="Z18" s="627">
        <v>0</v>
      </c>
    </row>
    <row r="19" spans="1:26" s="22" customFormat="1" ht="54" customHeight="1" x14ac:dyDescent="0.25">
      <c r="A19" s="966" t="s">
        <v>1295</v>
      </c>
      <c r="B19" s="967"/>
      <c r="C19" s="967"/>
      <c r="D19" s="967"/>
      <c r="E19" s="967"/>
      <c r="H19" s="966"/>
      <c r="I19" s="967"/>
      <c r="J19" s="967"/>
      <c r="K19" s="967"/>
      <c r="L19" s="967"/>
      <c r="O19" s="966"/>
      <c r="P19" s="967"/>
      <c r="Q19" s="967"/>
      <c r="R19" s="967"/>
      <c r="S19" s="967"/>
      <c r="V19" s="966"/>
      <c r="W19" s="967"/>
      <c r="X19" s="967"/>
      <c r="Y19" s="967"/>
      <c r="Z19" s="967"/>
    </row>
    <row r="20" spans="1:26" s="22" customFormat="1" ht="11.5" x14ac:dyDescent="0.25">
      <c r="A20" s="23"/>
      <c r="B20" s="23"/>
      <c r="C20" s="23"/>
      <c r="D20" s="23"/>
      <c r="E20" s="23"/>
      <c r="F20" s="35"/>
      <c r="G20" s="35"/>
    </row>
    <row r="21" spans="1:26" s="22" customFormat="1" ht="11.5" x14ac:dyDescent="0.25">
      <c r="A21" s="620" t="s">
        <v>623</v>
      </c>
      <c r="B21" s="23"/>
      <c r="C21" s="23"/>
      <c r="D21" s="23"/>
      <c r="E21" s="35"/>
    </row>
    <row r="22" spans="1:26" s="22" customFormat="1" ht="11.5" x14ac:dyDescent="0.25">
      <c r="A22" s="621" t="s">
        <v>624</v>
      </c>
      <c r="B22" s="23"/>
      <c r="C22" s="23"/>
      <c r="D22" s="23"/>
      <c r="E22" s="35"/>
      <c r="H22" s="621" t="s">
        <v>620</v>
      </c>
      <c r="I22" s="23"/>
      <c r="J22" s="23"/>
      <c r="K22" s="23"/>
      <c r="L22" s="35"/>
      <c r="O22" s="621" t="s">
        <v>621</v>
      </c>
      <c r="P22" s="23"/>
      <c r="Q22" s="23"/>
      <c r="R22" s="23"/>
      <c r="S22" s="35"/>
      <c r="V22" s="621" t="s">
        <v>622</v>
      </c>
      <c r="W22" s="23"/>
      <c r="X22" s="23"/>
      <c r="Y22" s="23"/>
      <c r="Z22" s="35"/>
    </row>
    <row r="23" spans="1:26" s="60" customFormat="1" ht="11.5" x14ac:dyDescent="0.25">
      <c r="A23" s="213" t="s">
        <v>834</v>
      </c>
      <c r="B23" s="331" t="s">
        <v>1210</v>
      </c>
      <c r="C23" s="331" t="s">
        <v>1211</v>
      </c>
      <c r="D23" s="331" t="s">
        <v>279</v>
      </c>
      <c r="E23" s="332" t="s">
        <v>153</v>
      </c>
      <c r="H23" s="213" t="s">
        <v>834</v>
      </c>
      <c r="I23" s="331" t="s">
        <v>1210</v>
      </c>
      <c r="J23" s="331" t="s">
        <v>1211</v>
      </c>
      <c r="K23" s="331" t="s">
        <v>279</v>
      </c>
      <c r="L23" s="332" t="s">
        <v>153</v>
      </c>
      <c r="O23" s="213" t="s">
        <v>834</v>
      </c>
      <c r="P23" s="331" t="s">
        <v>1210</v>
      </c>
      <c r="Q23" s="331" t="s">
        <v>1211</v>
      </c>
      <c r="R23" s="331" t="s">
        <v>279</v>
      </c>
      <c r="S23" s="332" t="s">
        <v>153</v>
      </c>
      <c r="V23" s="213" t="s">
        <v>834</v>
      </c>
      <c r="W23" s="331" t="s">
        <v>1210</v>
      </c>
      <c r="X23" s="331" t="s">
        <v>1211</v>
      </c>
      <c r="Y23" s="331" t="s">
        <v>279</v>
      </c>
      <c r="Z23" s="332" t="s">
        <v>153</v>
      </c>
    </row>
    <row r="24" spans="1:26" s="22" customFormat="1" ht="11.5" x14ac:dyDescent="0.25">
      <c r="A24" s="968" t="s">
        <v>991</v>
      </c>
      <c r="B24" s="969"/>
      <c r="C24" s="969"/>
      <c r="D24" s="969"/>
      <c r="E24" s="970"/>
      <c r="H24" s="968" t="s">
        <v>991</v>
      </c>
      <c r="I24" s="969"/>
      <c r="J24" s="969"/>
      <c r="K24" s="969"/>
      <c r="L24" s="970"/>
      <c r="O24" s="968" t="s">
        <v>991</v>
      </c>
      <c r="P24" s="969"/>
      <c r="Q24" s="969"/>
      <c r="R24" s="969"/>
      <c r="S24" s="970"/>
      <c r="V24" s="968" t="s">
        <v>991</v>
      </c>
      <c r="W24" s="969"/>
      <c r="X24" s="969"/>
      <c r="Y24" s="969"/>
      <c r="Z24" s="970"/>
    </row>
    <row r="25" spans="1:26" s="22" customFormat="1" ht="11.5" x14ac:dyDescent="0.25">
      <c r="A25" s="626">
        <f>SUM(H25+O25+V25)</f>
        <v>930</v>
      </c>
      <c r="B25" s="495">
        <f>SUM(I25+P25+W25)</f>
        <v>256</v>
      </c>
      <c r="C25" s="495">
        <f>SUM(J25+Q25+X25)</f>
        <v>1186</v>
      </c>
      <c r="D25" s="495">
        <f>SUM(K25+R25+Y25)</f>
        <v>55</v>
      </c>
      <c r="E25" s="627">
        <f>SUM(C25:D25)</f>
        <v>1241</v>
      </c>
      <c r="F25" s="28"/>
      <c r="H25" s="626">
        <v>888</v>
      </c>
      <c r="I25" s="495">
        <v>216</v>
      </c>
      <c r="J25" s="495">
        <f>SUM(H25:I25)</f>
        <v>1104</v>
      </c>
      <c r="K25" s="495">
        <v>53</v>
      </c>
      <c r="L25" s="627">
        <f>SUM(J25:K25)</f>
        <v>1157</v>
      </c>
      <c r="O25" s="626">
        <v>42</v>
      </c>
      <c r="P25" s="495">
        <v>26</v>
      </c>
      <c r="Q25" s="495">
        <f>SUM(O25:P25)</f>
        <v>68</v>
      </c>
      <c r="R25" s="495">
        <v>1</v>
      </c>
      <c r="S25" s="627">
        <f>SUM(Q25:R25)</f>
        <v>69</v>
      </c>
      <c r="V25" s="626">
        <v>0</v>
      </c>
      <c r="W25" s="495">
        <v>14</v>
      </c>
      <c r="X25" s="495">
        <f>SUM(V25:W25)</f>
        <v>14</v>
      </c>
      <c r="Y25" s="495">
        <v>1</v>
      </c>
      <c r="Z25" s="627">
        <f>SUM(X25:Y25)</f>
        <v>15</v>
      </c>
    </row>
    <row r="26" spans="1:26" s="22" customFormat="1" ht="11.5" x14ac:dyDescent="0.25">
      <c r="A26" s="968" t="s">
        <v>992</v>
      </c>
      <c r="B26" s="969"/>
      <c r="C26" s="969"/>
      <c r="D26" s="969"/>
      <c r="E26" s="970"/>
      <c r="H26" s="968" t="s">
        <v>992</v>
      </c>
      <c r="I26" s="969"/>
      <c r="J26" s="969"/>
      <c r="K26" s="969"/>
      <c r="L26" s="970"/>
      <c r="O26" s="968" t="s">
        <v>992</v>
      </c>
      <c r="P26" s="969"/>
      <c r="Q26" s="969"/>
      <c r="R26" s="969"/>
      <c r="S26" s="970"/>
      <c r="V26" s="968" t="s">
        <v>992</v>
      </c>
      <c r="W26" s="969"/>
      <c r="X26" s="969"/>
      <c r="Y26" s="969"/>
      <c r="Z26" s="970"/>
    </row>
    <row r="27" spans="1:26" s="22" customFormat="1" ht="11.5" x14ac:dyDescent="0.25">
      <c r="A27" s="626">
        <f>SUM(H27+O27+V27)</f>
        <v>891</v>
      </c>
      <c r="B27" s="495">
        <f>SUM(I27+P27+W27)</f>
        <v>249</v>
      </c>
      <c r="C27" s="495">
        <f>SUM(J27+Q27+X27)</f>
        <v>1140</v>
      </c>
      <c r="D27" s="495">
        <f>SUM(K27+R27+Y27)</f>
        <v>55</v>
      </c>
      <c r="E27" s="627">
        <f>SUM(C27:D27)</f>
        <v>1195</v>
      </c>
      <c r="H27" s="626">
        <v>849</v>
      </c>
      <c r="I27" s="495">
        <v>209</v>
      </c>
      <c r="J27" s="495">
        <f>SUM(H27:I27)</f>
        <v>1058</v>
      </c>
      <c r="K27" s="495">
        <v>53</v>
      </c>
      <c r="L27" s="627">
        <f>SUM(J27:K27)</f>
        <v>1111</v>
      </c>
      <c r="O27" s="626">
        <v>42</v>
      </c>
      <c r="P27" s="495">
        <v>26</v>
      </c>
      <c r="Q27" s="495">
        <f>SUM(O27:P27)</f>
        <v>68</v>
      </c>
      <c r="R27" s="495">
        <v>1</v>
      </c>
      <c r="S27" s="627">
        <f>SUM(Q27:R27)</f>
        <v>69</v>
      </c>
      <c r="V27" s="626">
        <v>0</v>
      </c>
      <c r="W27" s="495">
        <v>14</v>
      </c>
      <c r="X27" s="495">
        <f>SUM(V27:W27)</f>
        <v>14</v>
      </c>
      <c r="Y27" s="495">
        <v>1</v>
      </c>
      <c r="Z27" s="627">
        <f>SUM(X27:Y27)</f>
        <v>15</v>
      </c>
    </row>
    <row r="28" spans="1:26" s="22" customFormat="1" ht="11.5" x14ac:dyDescent="0.25">
      <c r="A28" s="968" t="s">
        <v>993</v>
      </c>
      <c r="B28" s="969"/>
      <c r="C28" s="969"/>
      <c r="D28" s="969"/>
      <c r="E28" s="970"/>
      <c r="H28" s="968" t="s">
        <v>993</v>
      </c>
      <c r="I28" s="969"/>
      <c r="J28" s="969"/>
      <c r="K28" s="969"/>
      <c r="L28" s="970"/>
      <c r="O28" s="968" t="s">
        <v>993</v>
      </c>
      <c r="P28" s="969"/>
      <c r="Q28" s="969"/>
      <c r="R28" s="969"/>
      <c r="S28" s="970"/>
      <c r="V28" s="968" t="s">
        <v>993</v>
      </c>
      <c r="W28" s="969"/>
      <c r="X28" s="969"/>
      <c r="Y28" s="969"/>
      <c r="Z28" s="970"/>
    </row>
    <row r="29" spans="1:26" s="22" customFormat="1" ht="11.5" x14ac:dyDescent="0.25">
      <c r="A29" s="626">
        <f>SUM(H29+O29+V29)</f>
        <v>39</v>
      </c>
      <c r="B29" s="495">
        <f>SUM(I29+P29+W29)</f>
        <v>7</v>
      </c>
      <c r="C29" s="495">
        <f>SUM(J29+Q29+X29)</f>
        <v>46</v>
      </c>
      <c r="D29" s="495">
        <f>SUM(K29+R29+Y29)</f>
        <v>0</v>
      </c>
      <c r="E29" s="627">
        <f>SUM(C29:D29)</f>
        <v>46</v>
      </c>
      <c r="H29" s="626">
        <v>39</v>
      </c>
      <c r="I29" s="495">
        <v>7</v>
      </c>
      <c r="J29" s="495">
        <f>SUM(H29:I29)</f>
        <v>46</v>
      </c>
      <c r="K29" s="495">
        <v>0</v>
      </c>
      <c r="L29" s="627">
        <f>SUM(J29:K29)</f>
        <v>46</v>
      </c>
      <c r="O29" s="626">
        <v>0</v>
      </c>
      <c r="P29" s="495">
        <v>0</v>
      </c>
      <c r="Q29" s="495">
        <f>SUM(O29:P29)</f>
        <v>0</v>
      </c>
      <c r="R29" s="495">
        <v>0</v>
      </c>
      <c r="S29" s="627">
        <f>SUM(Q29:R29)</f>
        <v>0</v>
      </c>
      <c r="V29" s="626">
        <v>0</v>
      </c>
      <c r="W29" s="495">
        <v>0</v>
      </c>
      <c r="X29" s="495">
        <f>SUM(V29:W29)</f>
        <v>0</v>
      </c>
      <c r="Y29" s="495">
        <v>0</v>
      </c>
      <c r="Z29" s="627">
        <f>SUM(X29:Y29)</f>
        <v>0</v>
      </c>
    </row>
    <row r="30" spans="1:26" s="22" customFormat="1" ht="11.5" x14ac:dyDescent="0.25">
      <c r="A30" s="968" t="s">
        <v>994</v>
      </c>
      <c r="B30" s="969"/>
      <c r="C30" s="969"/>
      <c r="D30" s="969"/>
      <c r="E30" s="970"/>
      <c r="H30" s="968" t="s">
        <v>994</v>
      </c>
      <c r="I30" s="969"/>
      <c r="J30" s="969"/>
      <c r="K30" s="969"/>
      <c r="L30" s="970"/>
      <c r="O30" s="968" t="s">
        <v>994</v>
      </c>
      <c r="P30" s="969"/>
      <c r="Q30" s="969"/>
      <c r="R30" s="969"/>
      <c r="S30" s="970"/>
      <c r="V30" s="968" t="s">
        <v>994</v>
      </c>
      <c r="W30" s="969"/>
      <c r="X30" s="969"/>
      <c r="Y30" s="969"/>
      <c r="Z30" s="970"/>
    </row>
    <row r="31" spans="1:26" s="22" customFormat="1" ht="11.5" x14ac:dyDescent="0.25">
      <c r="A31" s="626">
        <f>SUM(H31+O31+V31)</f>
        <v>0</v>
      </c>
      <c r="B31" s="495">
        <f>SUM(I31+P31+W31)</f>
        <v>0</v>
      </c>
      <c r="C31" s="495">
        <f>SUM(J31+Q31+X31)</f>
        <v>0</v>
      </c>
      <c r="D31" s="495">
        <f>SUM(K31+R31+Y31)</f>
        <v>0</v>
      </c>
      <c r="E31" s="627">
        <f>SUM(C31:D31)</f>
        <v>0</v>
      </c>
      <c r="H31" s="626">
        <v>0</v>
      </c>
      <c r="I31" s="495">
        <v>0</v>
      </c>
      <c r="J31" s="495">
        <f>SUM(H31:I31)</f>
        <v>0</v>
      </c>
      <c r="K31" s="495">
        <v>0</v>
      </c>
      <c r="L31" s="627">
        <f>SUM(J31:K31)</f>
        <v>0</v>
      </c>
      <c r="O31" s="626">
        <v>0</v>
      </c>
      <c r="P31" s="495">
        <v>0</v>
      </c>
      <c r="Q31" s="495">
        <f>SUM(O31:P31)</f>
        <v>0</v>
      </c>
      <c r="R31" s="495">
        <v>0</v>
      </c>
      <c r="S31" s="627">
        <f>SUM(Q31:R31)</f>
        <v>0</v>
      </c>
      <c r="V31" s="626">
        <v>0</v>
      </c>
      <c r="W31" s="495">
        <v>0</v>
      </c>
      <c r="X31" s="495">
        <f>SUM(V31:W31)</f>
        <v>0</v>
      </c>
      <c r="Y31" s="495">
        <v>0</v>
      </c>
      <c r="Z31" s="627">
        <f>SUM(X31:Y31)</f>
        <v>0</v>
      </c>
    </row>
    <row r="32" spans="1:26" s="22" customFormat="1" ht="11.5" x14ac:dyDescent="0.25">
      <c r="A32" s="968" t="s">
        <v>995</v>
      </c>
      <c r="B32" s="969"/>
      <c r="C32" s="969"/>
      <c r="D32" s="969"/>
      <c r="E32" s="970"/>
      <c r="H32" s="968" t="s">
        <v>995</v>
      </c>
      <c r="I32" s="969"/>
      <c r="J32" s="969"/>
      <c r="K32" s="969"/>
      <c r="L32" s="970"/>
      <c r="O32" s="968" t="s">
        <v>995</v>
      </c>
      <c r="P32" s="969"/>
      <c r="Q32" s="969"/>
      <c r="R32" s="969"/>
      <c r="S32" s="970"/>
      <c r="V32" s="968" t="s">
        <v>995</v>
      </c>
      <c r="W32" s="969"/>
      <c r="X32" s="969"/>
      <c r="Y32" s="969"/>
      <c r="Z32" s="970"/>
    </row>
    <row r="33" spans="1:27" s="22" customFormat="1" ht="11.5" x14ac:dyDescent="0.25">
      <c r="A33" s="626">
        <f>SUM(H33+O33+V33)</f>
        <v>930</v>
      </c>
      <c r="B33" s="495">
        <f>SUM(I33+P33+W33)</f>
        <v>256</v>
      </c>
      <c r="C33" s="495">
        <f>SUM(J33+Q33+X33)</f>
        <v>1186</v>
      </c>
      <c r="D33" s="495">
        <f>SUM(K33+R33+Y33)</f>
        <v>55</v>
      </c>
      <c r="E33" s="627">
        <f>SUM(C33:D33)</f>
        <v>1241</v>
      </c>
      <c r="H33" s="626">
        <v>888</v>
      </c>
      <c r="I33" s="495">
        <v>216</v>
      </c>
      <c r="J33" s="495">
        <f>SUM(H33:I33)</f>
        <v>1104</v>
      </c>
      <c r="K33" s="495">
        <v>53</v>
      </c>
      <c r="L33" s="627">
        <f>SUM(J33:K33)</f>
        <v>1157</v>
      </c>
      <c r="O33" s="626">
        <v>42</v>
      </c>
      <c r="P33" s="495">
        <v>26</v>
      </c>
      <c r="Q33" s="495">
        <f>SUM(O33:P33)</f>
        <v>68</v>
      </c>
      <c r="R33" s="495">
        <v>1</v>
      </c>
      <c r="S33" s="627">
        <f>SUM(Q33:R33)</f>
        <v>69</v>
      </c>
      <c r="V33" s="626">
        <v>0</v>
      </c>
      <c r="W33" s="495">
        <v>14</v>
      </c>
      <c r="X33" s="495">
        <f>SUM(V33:W33)</f>
        <v>14</v>
      </c>
      <c r="Y33" s="495">
        <v>1</v>
      </c>
      <c r="Z33" s="627">
        <f>SUM(X33:Y33)</f>
        <v>15</v>
      </c>
    </row>
    <row r="34" spans="1:27" s="22" customFormat="1" ht="11.5" x14ac:dyDescent="0.25">
      <c r="A34" s="968" t="s">
        <v>996</v>
      </c>
      <c r="B34" s="969"/>
      <c r="C34" s="969"/>
      <c r="D34" s="969"/>
      <c r="E34" s="970"/>
      <c r="H34" s="968" t="s">
        <v>996</v>
      </c>
      <c r="I34" s="969"/>
      <c r="J34" s="969"/>
      <c r="K34" s="969"/>
      <c r="L34" s="970"/>
      <c r="O34" s="968" t="s">
        <v>996</v>
      </c>
      <c r="P34" s="969"/>
      <c r="Q34" s="969"/>
      <c r="R34" s="969"/>
      <c r="S34" s="970"/>
      <c r="V34" s="968" t="s">
        <v>996</v>
      </c>
      <c r="W34" s="969"/>
      <c r="X34" s="969"/>
      <c r="Y34" s="969"/>
      <c r="Z34" s="970"/>
    </row>
    <row r="35" spans="1:27" s="22" customFormat="1" ht="11.5" x14ac:dyDescent="0.25">
      <c r="A35" s="626">
        <f>SUM(H35+O35+V35)</f>
        <v>0</v>
      </c>
      <c r="B35" s="495">
        <f>SUM(I35+P35+W35)</f>
        <v>0</v>
      </c>
      <c r="C35" s="495">
        <f>SUM(J35+Q35+X35)</f>
        <v>0</v>
      </c>
      <c r="D35" s="495">
        <f>SUM(K35+R35+Y35)</f>
        <v>0</v>
      </c>
      <c r="E35" s="627">
        <f>SUM(A35:D35)</f>
        <v>0</v>
      </c>
      <c r="H35" s="626">
        <v>0</v>
      </c>
      <c r="I35" s="495">
        <v>0</v>
      </c>
      <c r="J35" s="495">
        <f>SUM(H35:I35)</f>
        <v>0</v>
      </c>
      <c r="K35" s="495">
        <v>0</v>
      </c>
      <c r="L35" s="627">
        <f>SUM(J35:K35)</f>
        <v>0</v>
      </c>
      <c r="O35" s="626">
        <v>0</v>
      </c>
      <c r="P35" s="495">
        <v>0</v>
      </c>
      <c r="Q35" s="495">
        <f>SUM(O35:P35)</f>
        <v>0</v>
      </c>
      <c r="R35" s="495">
        <v>0</v>
      </c>
      <c r="S35" s="627">
        <f>SUM(Q35:R35)</f>
        <v>0</v>
      </c>
      <c r="V35" s="626">
        <v>0</v>
      </c>
      <c r="W35" s="495">
        <v>0</v>
      </c>
      <c r="X35" s="495">
        <f>SUM(V35:W35)</f>
        <v>0</v>
      </c>
      <c r="Y35" s="495">
        <v>0</v>
      </c>
      <c r="Z35" s="627">
        <f>SUM(X35:Y35)</f>
        <v>0</v>
      </c>
    </row>
    <row r="36" spans="1:27" s="22" customFormat="1" ht="78.75" customHeight="1" x14ac:dyDescent="0.25">
      <c r="A36" s="966" t="s">
        <v>1296</v>
      </c>
      <c r="B36" s="967"/>
      <c r="C36" s="967"/>
      <c r="D36" s="967"/>
      <c r="E36" s="967"/>
      <c r="H36" s="966"/>
      <c r="I36" s="967"/>
      <c r="J36" s="967"/>
      <c r="K36" s="967"/>
      <c r="L36" s="967"/>
      <c r="O36" s="966"/>
      <c r="P36" s="967"/>
      <c r="Q36" s="967"/>
      <c r="R36" s="967"/>
      <c r="S36" s="967"/>
      <c r="V36" s="966"/>
      <c r="W36" s="967"/>
      <c r="X36" s="967"/>
      <c r="Y36" s="967"/>
      <c r="Z36" s="967"/>
    </row>
    <row r="37" spans="1:27" s="60" customFormat="1" ht="11.5" x14ac:dyDescent="0.25">
      <c r="A37" s="49"/>
      <c r="C37" s="49"/>
      <c r="D37" s="49"/>
      <c r="E37" s="49"/>
      <c r="F37" s="56"/>
      <c r="G37" s="56"/>
    </row>
    <row r="38" spans="1:27" s="22" customFormat="1" ht="11.5" x14ac:dyDescent="0.25">
      <c r="A38" s="620" t="s">
        <v>626</v>
      </c>
    </row>
    <row r="39" spans="1:27" s="22" customFormat="1" ht="11.5" x14ac:dyDescent="0.25">
      <c r="A39" s="621" t="s">
        <v>624</v>
      </c>
      <c r="B39" s="23"/>
      <c r="C39" s="23"/>
      <c r="D39" s="23"/>
      <c r="E39" s="35"/>
      <c r="H39" s="621" t="s">
        <v>620</v>
      </c>
      <c r="I39" s="23"/>
      <c r="J39" s="23"/>
      <c r="K39" s="23"/>
      <c r="L39" s="35"/>
      <c r="P39" s="621" t="s">
        <v>621</v>
      </c>
      <c r="Q39" s="23"/>
      <c r="R39" s="23"/>
      <c r="S39" s="23"/>
      <c r="T39" s="35"/>
      <c r="U39" s="35"/>
      <c r="V39" s="621" t="s">
        <v>622</v>
      </c>
      <c r="W39" s="23"/>
      <c r="X39" s="23"/>
      <c r="Y39" s="23"/>
      <c r="Z39" s="35"/>
    </row>
    <row r="40" spans="1:27" s="60" customFormat="1" ht="11.5" x14ac:dyDescent="0.25">
      <c r="A40" s="326" t="s">
        <v>298</v>
      </c>
      <c r="B40" s="327" t="s">
        <v>299</v>
      </c>
      <c r="C40" s="327" t="s">
        <v>300</v>
      </c>
      <c r="D40" s="327" t="s">
        <v>303</v>
      </c>
      <c r="E40" s="327" t="s">
        <v>627</v>
      </c>
      <c r="F40" s="328" t="s">
        <v>153</v>
      </c>
      <c r="H40" s="323" t="s">
        <v>298</v>
      </c>
      <c r="I40" s="324" t="s">
        <v>299</v>
      </c>
      <c r="J40" s="324" t="s">
        <v>300</v>
      </c>
      <c r="K40" s="324" t="s">
        <v>303</v>
      </c>
      <c r="L40" s="324" t="s">
        <v>627</v>
      </c>
      <c r="M40" s="325" t="s">
        <v>153</v>
      </c>
      <c r="O40" s="213" t="s">
        <v>298</v>
      </c>
      <c r="P40" s="331" t="s">
        <v>299</v>
      </c>
      <c r="Q40" s="331" t="s">
        <v>300</v>
      </c>
      <c r="R40" s="331" t="s">
        <v>303</v>
      </c>
      <c r="S40" s="331" t="s">
        <v>627</v>
      </c>
      <c r="T40" s="332" t="s">
        <v>153</v>
      </c>
      <c r="V40" s="213" t="s">
        <v>1083</v>
      </c>
      <c r="W40" s="331" t="s">
        <v>299</v>
      </c>
      <c r="X40" s="331" t="s">
        <v>300</v>
      </c>
      <c r="Y40" s="331" t="s">
        <v>303</v>
      </c>
      <c r="Z40" s="331" t="s">
        <v>627</v>
      </c>
      <c r="AA40" s="332" t="s">
        <v>153</v>
      </c>
    </row>
    <row r="41" spans="1:27" s="22" customFormat="1" ht="11.5" x14ac:dyDescent="0.25">
      <c r="A41" s="628" t="s">
        <v>991</v>
      </c>
      <c r="B41" s="629"/>
      <c r="C41" s="629"/>
      <c r="D41" s="629"/>
      <c r="E41" s="629"/>
      <c r="F41" s="630"/>
      <c r="H41" s="631" t="s">
        <v>991</v>
      </c>
      <c r="I41" s="632"/>
      <c r="J41" s="632"/>
      <c r="K41" s="632"/>
      <c r="L41" s="632"/>
      <c r="M41" s="633"/>
      <c r="O41" s="622" t="s">
        <v>991</v>
      </c>
      <c r="P41" s="623"/>
      <c r="Q41" s="623"/>
      <c r="R41" s="623"/>
      <c r="S41" s="623"/>
      <c r="T41" s="624"/>
      <c r="V41" s="622" t="s">
        <v>991</v>
      </c>
      <c r="W41" s="623"/>
      <c r="X41" s="623"/>
      <c r="Y41" s="623"/>
      <c r="Z41" s="623"/>
      <c r="AA41" s="624"/>
    </row>
    <row r="42" spans="1:27" s="22" customFormat="1" ht="11.5" x14ac:dyDescent="0.25">
      <c r="A42" s="634">
        <f>SUM(H42+O42+V42)</f>
        <v>11</v>
      </c>
      <c r="B42" s="635">
        <f>SUM(I42+P42+W42)</f>
        <v>13</v>
      </c>
      <c r="C42" s="635">
        <f>SUM(J42+Q42+X42)</f>
        <v>43</v>
      </c>
      <c r="D42" s="635">
        <f>SUM(K42+R42+Y42)</f>
        <v>127</v>
      </c>
      <c r="E42" s="635">
        <f>SUM(L42+S42+Z42)</f>
        <v>1047</v>
      </c>
      <c r="F42" s="636">
        <f>SUM(A42:E42)</f>
        <v>1241</v>
      </c>
      <c r="H42" s="637">
        <v>3</v>
      </c>
      <c r="I42" s="638">
        <v>12</v>
      </c>
      <c r="J42" s="638">
        <v>31</v>
      </c>
      <c r="K42" s="638">
        <v>116</v>
      </c>
      <c r="L42" s="638">
        <v>995</v>
      </c>
      <c r="M42" s="639">
        <f>SUM(H42:L42)</f>
        <v>1157</v>
      </c>
      <c r="O42" s="626">
        <v>3</v>
      </c>
      <c r="P42" s="495">
        <v>1</v>
      </c>
      <c r="Q42" s="495">
        <v>5</v>
      </c>
      <c r="R42" s="495">
        <v>11</v>
      </c>
      <c r="S42" s="495">
        <v>49</v>
      </c>
      <c r="T42" s="627">
        <f>SUM(O42:S42)</f>
        <v>69</v>
      </c>
      <c r="V42" s="626">
        <v>5</v>
      </c>
      <c r="W42" s="495">
        <v>0</v>
      </c>
      <c r="X42" s="495">
        <v>7</v>
      </c>
      <c r="Y42" s="495">
        <v>0</v>
      </c>
      <c r="Z42" s="495">
        <v>3</v>
      </c>
      <c r="AA42" s="627">
        <f>SUM(V42:Z42)</f>
        <v>15</v>
      </c>
    </row>
    <row r="43" spans="1:27" s="22" customFormat="1" ht="11.5" x14ac:dyDescent="0.25">
      <c r="A43" s="628" t="s">
        <v>992</v>
      </c>
      <c r="B43" s="629"/>
      <c r="C43" s="629"/>
      <c r="D43" s="629"/>
      <c r="E43" s="629"/>
      <c r="F43" s="636"/>
      <c r="H43" s="631" t="s">
        <v>992</v>
      </c>
      <c r="I43" s="632"/>
      <c r="J43" s="632"/>
      <c r="K43" s="632"/>
      <c r="L43" s="632"/>
      <c r="M43" s="639"/>
      <c r="O43" s="622" t="s">
        <v>992</v>
      </c>
      <c r="P43" s="623"/>
      <c r="Q43" s="623"/>
      <c r="R43" s="623"/>
      <c r="S43" s="623"/>
      <c r="T43" s="627"/>
      <c r="V43" s="622" t="s">
        <v>992</v>
      </c>
      <c r="W43" s="623"/>
      <c r="X43" s="623"/>
      <c r="Y43" s="623"/>
      <c r="Z43" s="623"/>
      <c r="AA43" s="627"/>
    </row>
    <row r="44" spans="1:27" s="22" customFormat="1" ht="11.5" x14ac:dyDescent="0.25">
      <c r="A44" s="634">
        <f>SUM(H44+O44+V44)</f>
        <v>11</v>
      </c>
      <c r="B44" s="635">
        <f>SUM(I44+P44+W44)</f>
        <v>13</v>
      </c>
      <c r="C44" s="635">
        <f>SUM(J44+Q44+X44)</f>
        <v>43</v>
      </c>
      <c r="D44" s="635">
        <f>SUM(K44+R44+Y44)</f>
        <v>127</v>
      </c>
      <c r="E44" s="635">
        <f>SUM(L44+S44+Z44)</f>
        <v>1047</v>
      </c>
      <c r="F44" s="636">
        <f t="shared" ref="F44:F52" si="0">SUM(A44:E44)</f>
        <v>1241</v>
      </c>
      <c r="H44" s="637">
        <v>3</v>
      </c>
      <c r="I44" s="638">
        <v>12</v>
      </c>
      <c r="J44" s="638">
        <v>31</v>
      </c>
      <c r="K44" s="638">
        <v>116</v>
      </c>
      <c r="L44" s="638">
        <v>995</v>
      </c>
      <c r="M44" s="639">
        <f t="shared" ref="M44:M52" si="1">SUM(H44:L44)</f>
        <v>1157</v>
      </c>
      <c r="O44" s="626">
        <v>3</v>
      </c>
      <c r="P44" s="495">
        <v>1</v>
      </c>
      <c r="Q44" s="495">
        <v>5</v>
      </c>
      <c r="R44" s="495">
        <v>11</v>
      </c>
      <c r="S44" s="495">
        <v>49</v>
      </c>
      <c r="T44" s="627">
        <f t="shared" ref="T44:T52" si="2">SUM(O44:S44)</f>
        <v>69</v>
      </c>
      <c r="V44" s="626">
        <v>5</v>
      </c>
      <c r="W44" s="495">
        <f t="shared" ref="W44:Z44" si="3">W42</f>
        <v>0</v>
      </c>
      <c r="X44" s="495">
        <f t="shared" si="3"/>
        <v>7</v>
      </c>
      <c r="Y44" s="495">
        <f t="shared" si="3"/>
        <v>0</v>
      </c>
      <c r="Z44" s="495">
        <f t="shared" si="3"/>
        <v>3</v>
      </c>
      <c r="AA44" s="627">
        <f t="shared" ref="AA44" si="4">SUM(V44:Z44)</f>
        <v>15</v>
      </c>
    </row>
    <row r="45" spans="1:27" s="22" customFormat="1" ht="11.5" x14ac:dyDescent="0.25">
      <c r="A45" s="628" t="s">
        <v>993</v>
      </c>
      <c r="B45" s="629"/>
      <c r="C45" s="629"/>
      <c r="D45" s="629"/>
      <c r="E45" s="629"/>
      <c r="F45" s="636"/>
      <c r="H45" s="631" t="s">
        <v>993</v>
      </c>
      <c r="I45" s="632"/>
      <c r="J45" s="632"/>
      <c r="K45" s="632"/>
      <c r="L45" s="632"/>
      <c r="M45" s="639"/>
      <c r="O45" s="622" t="s">
        <v>993</v>
      </c>
      <c r="P45" s="623"/>
      <c r="Q45" s="623"/>
      <c r="R45" s="623"/>
      <c r="S45" s="623"/>
      <c r="T45" s="627"/>
      <c r="V45" s="622" t="s">
        <v>993</v>
      </c>
      <c r="W45" s="623"/>
      <c r="X45" s="623"/>
      <c r="Y45" s="623"/>
      <c r="Z45" s="623"/>
      <c r="AA45" s="627"/>
    </row>
    <row r="46" spans="1:27" s="22" customFormat="1" ht="11.5" x14ac:dyDescent="0.25">
      <c r="A46" s="634">
        <f>SUM(H46+O46+V46)</f>
        <v>0</v>
      </c>
      <c r="B46" s="635">
        <f>SUM(I46+P46+W46)</f>
        <v>0</v>
      </c>
      <c r="C46" s="635">
        <f>SUM(J46+Q46+X46)</f>
        <v>0</v>
      </c>
      <c r="D46" s="635">
        <f>SUM(K46+R46+Y46)</f>
        <v>0</v>
      </c>
      <c r="E46" s="635">
        <f>SUM(L46+S46+Z46)</f>
        <v>46</v>
      </c>
      <c r="F46" s="636">
        <f t="shared" si="0"/>
        <v>46</v>
      </c>
      <c r="H46" s="637">
        <v>0</v>
      </c>
      <c r="I46" s="638">
        <v>0</v>
      </c>
      <c r="J46" s="638">
        <v>0</v>
      </c>
      <c r="K46" s="638">
        <v>0</v>
      </c>
      <c r="L46" s="638">
        <v>46</v>
      </c>
      <c r="M46" s="639">
        <f t="shared" si="1"/>
        <v>46</v>
      </c>
      <c r="O46" s="626">
        <v>0</v>
      </c>
      <c r="P46" s="495">
        <v>0</v>
      </c>
      <c r="Q46" s="495">
        <v>0</v>
      </c>
      <c r="R46" s="495">
        <v>0</v>
      </c>
      <c r="S46" s="495">
        <v>0</v>
      </c>
      <c r="T46" s="627">
        <f t="shared" si="2"/>
        <v>0</v>
      </c>
      <c r="V46" s="626">
        <v>0</v>
      </c>
      <c r="W46" s="495">
        <v>0</v>
      </c>
      <c r="X46" s="495">
        <v>0</v>
      </c>
      <c r="Y46" s="495">
        <v>0</v>
      </c>
      <c r="Z46" s="495">
        <v>0</v>
      </c>
      <c r="AA46" s="627">
        <f t="shared" ref="AA46" si="5">SUM(V46:Z46)</f>
        <v>0</v>
      </c>
    </row>
    <row r="47" spans="1:27" s="22" customFormat="1" ht="11.5" x14ac:dyDescent="0.25">
      <c r="A47" s="628" t="s">
        <v>994</v>
      </c>
      <c r="B47" s="629"/>
      <c r="C47" s="629"/>
      <c r="D47" s="629"/>
      <c r="E47" s="629"/>
      <c r="F47" s="636"/>
      <c r="H47" s="631" t="s">
        <v>994</v>
      </c>
      <c r="I47" s="632"/>
      <c r="J47" s="632"/>
      <c r="K47" s="632"/>
      <c r="L47" s="632"/>
      <c r="M47" s="639"/>
      <c r="O47" s="622" t="s">
        <v>994</v>
      </c>
      <c r="P47" s="623"/>
      <c r="Q47" s="623"/>
      <c r="R47" s="623"/>
      <c r="S47" s="623"/>
      <c r="T47" s="627"/>
      <c r="V47" s="622" t="s">
        <v>994</v>
      </c>
      <c r="W47" s="623"/>
      <c r="X47" s="623"/>
      <c r="Y47" s="623"/>
      <c r="Z47" s="623"/>
      <c r="AA47" s="627"/>
    </row>
    <row r="48" spans="1:27" s="22" customFormat="1" ht="11.5" x14ac:dyDescent="0.25">
      <c r="A48" s="634">
        <f>SUM(H48+O48+V48)</f>
        <v>0</v>
      </c>
      <c r="B48" s="635">
        <f>SUM(I48+P48+W48)</f>
        <v>0</v>
      </c>
      <c r="C48" s="635">
        <f>SUM(J48+Q48+X48)</f>
        <v>0</v>
      </c>
      <c r="D48" s="635">
        <f>SUM(K48+R48+Y48)</f>
        <v>0</v>
      </c>
      <c r="E48" s="635">
        <f>SUM(L48+S48+Z48)</f>
        <v>0</v>
      </c>
      <c r="F48" s="636">
        <f t="shared" si="0"/>
        <v>0</v>
      </c>
      <c r="H48" s="637">
        <v>0</v>
      </c>
      <c r="I48" s="638">
        <v>0</v>
      </c>
      <c r="J48" s="638">
        <v>0</v>
      </c>
      <c r="K48" s="638">
        <v>0</v>
      </c>
      <c r="L48" s="638">
        <v>0</v>
      </c>
      <c r="M48" s="639">
        <f t="shared" si="1"/>
        <v>0</v>
      </c>
      <c r="O48" s="626">
        <v>0</v>
      </c>
      <c r="P48" s="495">
        <v>0</v>
      </c>
      <c r="Q48" s="495">
        <v>0</v>
      </c>
      <c r="R48" s="495">
        <v>0</v>
      </c>
      <c r="S48" s="495">
        <v>0</v>
      </c>
      <c r="T48" s="627">
        <f t="shared" si="2"/>
        <v>0</v>
      </c>
      <c r="V48" s="626">
        <v>0</v>
      </c>
      <c r="W48" s="495">
        <v>0</v>
      </c>
      <c r="X48" s="495">
        <v>0</v>
      </c>
      <c r="Y48" s="495">
        <v>0</v>
      </c>
      <c r="Z48" s="495">
        <v>0</v>
      </c>
      <c r="AA48" s="627">
        <f t="shared" ref="AA48" si="6">SUM(V48:Z48)</f>
        <v>0</v>
      </c>
    </row>
    <row r="49" spans="1:27" s="22" customFormat="1" ht="11.5" x14ac:dyDescent="0.25">
      <c r="A49" s="628" t="s">
        <v>995</v>
      </c>
      <c r="B49" s="629"/>
      <c r="C49" s="629"/>
      <c r="D49" s="629"/>
      <c r="E49" s="629"/>
      <c r="F49" s="636"/>
      <c r="H49" s="631" t="s">
        <v>995</v>
      </c>
      <c r="I49" s="632"/>
      <c r="J49" s="632"/>
      <c r="K49" s="632"/>
      <c r="L49" s="632"/>
      <c r="M49" s="639"/>
      <c r="O49" s="622" t="s">
        <v>995</v>
      </c>
      <c r="P49" s="623"/>
      <c r="Q49" s="623"/>
      <c r="R49" s="623"/>
      <c r="S49" s="623"/>
      <c r="T49" s="627"/>
      <c r="V49" s="622" t="s">
        <v>995</v>
      </c>
      <c r="W49" s="623"/>
      <c r="X49" s="623"/>
      <c r="Y49" s="623"/>
      <c r="Z49" s="623"/>
      <c r="AA49" s="627"/>
    </row>
    <row r="50" spans="1:27" s="22" customFormat="1" ht="11.5" x14ac:dyDescent="0.25">
      <c r="A50" s="634">
        <f>SUM(H50+O50+V50)</f>
        <v>11</v>
      </c>
      <c r="B50" s="635">
        <f>SUM(I50+P50+W50)</f>
        <v>13</v>
      </c>
      <c r="C50" s="635">
        <f>SUM(J50+Q50+X50)</f>
        <v>43</v>
      </c>
      <c r="D50" s="635">
        <f>SUM(K50+R50+Y50)</f>
        <v>127</v>
      </c>
      <c r="E50" s="635">
        <f>SUM(L50+S50+Z50)</f>
        <v>1046</v>
      </c>
      <c r="F50" s="636">
        <f t="shared" si="0"/>
        <v>1240</v>
      </c>
      <c r="H50" s="637">
        <v>3</v>
      </c>
      <c r="I50" s="638">
        <v>12</v>
      </c>
      <c r="J50" s="638">
        <v>31</v>
      </c>
      <c r="K50" s="638">
        <v>116</v>
      </c>
      <c r="L50" s="638">
        <v>995</v>
      </c>
      <c r="M50" s="639">
        <f t="shared" si="1"/>
        <v>1157</v>
      </c>
      <c r="O50" s="626">
        <v>3</v>
      </c>
      <c r="P50" s="495">
        <v>1</v>
      </c>
      <c r="Q50" s="495">
        <v>5</v>
      </c>
      <c r="R50" s="495">
        <v>11</v>
      </c>
      <c r="S50" s="495">
        <v>48</v>
      </c>
      <c r="T50" s="627">
        <f t="shared" si="2"/>
        <v>68</v>
      </c>
      <c r="V50" s="626">
        <f>V42</f>
        <v>5</v>
      </c>
      <c r="W50" s="495">
        <f t="shared" ref="W50:Z50" si="7">W42</f>
        <v>0</v>
      </c>
      <c r="X50" s="495">
        <f t="shared" si="7"/>
        <v>7</v>
      </c>
      <c r="Y50" s="495">
        <f t="shared" si="7"/>
        <v>0</v>
      </c>
      <c r="Z50" s="495">
        <f t="shared" si="7"/>
        <v>3</v>
      </c>
      <c r="AA50" s="627">
        <f t="shared" ref="AA50" si="8">SUM(V50:Z50)</f>
        <v>15</v>
      </c>
    </row>
    <row r="51" spans="1:27" s="22" customFormat="1" ht="11.5" x14ac:dyDescent="0.25">
      <c r="A51" s="628" t="s">
        <v>996</v>
      </c>
      <c r="B51" s="629"/>
      <c r="C51" s="629"/>
      <c r="D51" s="629"/>
      <c r="E51" s="629"/>
      <c r="F51" s="636"/>
      <c r="H51" s="631" t="s">
        <v>996</v>
      </c>
      <c r="I51" s="632"/>
      <c r="J51" s="632"/>
      <c r="K51" s="632"/>
      <c r="L51" s="632"/>
      <c r="M51" s="639"/>
      <c r="O51" s="622" t="s">
        <v>996</v>
      </c>
      <c r="P51" s="623"/>
      <c r="Q51" s="623"/>
      <c r="R51" s="623"/>
      <c r="S51" s="623"/>
      <c r="T51" s="627"/>
      <c r="V51" s="622" t="s">
        <v>996</v>
      </c>
      <c r="W51" s="623"/>
      <c r="X51" s="623"/>
      <c r="Y51" s="623"/>
      <c r="Z51" s="623"/>
      <c r="AA51" s="627"/>
    </row>
    <row r="52" spans="1:27" s="22" customFormat="1" ht="11.5" x14ac:dyDescent="0.25">
      <c r="A52" s="634">
        <f>SUM(H52+O52+V52)</f>
        <v>0</v>
      </c>
      <c r="B52" s="635">
        <f>SUM(I52+P52+W52)</f>
        <v>0</v>
      </c>
      <c r="C52" s="635">
        <f>SUM(J52+Q52+X52)</f>
        <v>0</v>
      </c>
      <c r="D52" s="635">
        <f>SUM(K52+R52+Y52)</f>
        <v>0</v>
      </c>
      <c r="E52" s="635">
        <f>SUM(L52+S52+Z52)</f>
        <v>1</v>
      </c>
      <c r="F52" s="636">
        <f t="shared" si="0"/>
        <v>1</v>
      </c>
      <c r="H52" s="637">
        <v>0</v>
      </c>
      <c r="I52" s="638">
        <v>0</v>
      </c>
      <c r="J52" s="638">
        <v>0</v>
      </c>
      <c r="K52" s="638">
        <v>0</v>
      </c>
      <c r="L52" s="638">
        <v>0</v>
      </c>
      <c r="M52" s="639">
        <f t="shared" si="1"/>
        <v>0</v>
      </c>
      <c r="O52" s="626">
        <v>0</v>
      </c>
      <c r="P52" s="495">
        <v>0</v>
      </c>
      <c r="Q52" s="495">
        <v>0</v>
      </c>
      <c r="R52" s="495">
        <v>0</v>
      </c>
      <c r="S52" s="495">
        <v>1</v>
      </c>
      <c r="T52" s="627">
        <f t="shared" si="2"/>
        <v>1</v>
      </c>
      <c r="V52" s="626">
        <v>0</v>
      </c>
      <c r="W52" s="495">
        <v>0</v>
      </c>
      <c r="X52" s="495">
        <v>0</v>
      </c>
      <c r="Y52" s="495">
        <v>0</v>
      </c>
      <c r="Z52" s="495">
        <v>0</v>
      </c>
      <c r="AA52" s="627">
        <f t="shared" ref="AA52" si="9">SUM(V52:Z52)</f>
        <v>0</v>
      </c>
    </row>
    <row r="53" spans="1:27" s="22" customFormat="1" ht="59.25" customHeight="1" x14ac:dyDescent="0.25">
      <c r="A53" s="966" t="s">
        <v>1295</v>
      </c>
      <c r="B53" s="967"/>
      <c r="C53" s="967"/>
      <c r="D53" s="967"/>
      <c r="E53" s="967"/>
      <c r="H53" s="966"/>
      <c r="I53" s="967"/>
      <c r="J53" s="967"/>
      <c r="K53" s="967"/>
      <c r="L53" s="967"/>
      <c r="O53" s="966"/>
      <c r="P53" s="967"/>
      <c r="Q53" s="967"/>
      <c r="R53" s="967"/>
      <c r="S53" s="967"/>
      <c r="V53" s="966"/>
      <c r="W53" s="967"/>
      <c r="X53" s="967"/>
      <c r="Y53" s="967"/>
      <c r="Z53" s="967"/>
    </row>
    <row r="54" spans="1:27" s="18" customFormat="1" x14ac:dyDescent="0.3"/>
    <row r="55" spans="1:27" s="22" customFormat="1" ht="11.5" x14ac:dyDescent="0.25">
      <c r="A55" s="620" t="s">
        <v>628</v>
      </c>
      <c r="B55" s="23"/>
      <c r="C55" s="23"/>
      <c r="D55" s="23"/>
      <c r="E55" s="35"/>
    </row>
    <row r="56" spans="1:27" s="22" customFormat="1" ht="13.5" customHeight="1" x14ac:dyDescent="0.25">
      <c r="A56" s="621" t="s">
        <v>624</v>
      </c>
      <c r="B56" s="23"/>
      <c r="C56" s="23"/>
      <c r="D56" s="23"/>
      <c r="E56" s="35"/>
      <c r="H56" s="621" t="s">
        <v>620</v>
      </c>
      <c r="I56" s="23"/>
      <c r="J56" s="23"/>
      <c r="K56" s="23"/>
      <c r="L56" s="23"/>
      <c r="M56" s="23"/>
      <c r="N56" s="35"/>
      <c r="O56" s="621" t="s">
        <v>621</v>
      </c>
      <c r="P56" s="23"/>
      <c r="Q56" s="23"/>
      <c r="R56" s="23"/>
      <c r="S56" s="23"/>
      <c r="T56" s="23"/>
      <c r="U56" s="35"/>
      <c r="V56" s="621" t="s">
        <v>622</v>
      </c>
      <c r="W56" s="23"/>
      <c r="X56" s="23"/>
      <c r="Y56" s="23"/>
      <c r="Z56" s="35"/>
    </row>
    <row r="57" spans="1:27" s="60" customFormat="1" ht="11.5" x14ac:dyDescent="0.25">
      <c r="A57" s="323" t="s">
        <v>288</v>
      </c>
      <c r="B57" s="324" t="s">
        <v>629</v>
      </c>
      <c r="C57" s="324" t="s">
        <v>294</v>
      </c>
      <c r="D57" s="325" t="s">
        <v>153</v>
      </c>
      <c r="H57" s="323" t="s">
        <v>288</v>
      </c>
      <c r="I57" s="324" t="s">
        <v>629</v>
      </c>
      <c r="J57" s="324" t="s">
        <v>294</v>
      </c>
      <c r="K57" s="325" t="s">
        <v>153</v>
      </c>
      <c r="L57" s="101"/>
      <c r="M57" s="101"/>
      <c r="O57" s="213" t="s">
        <v>288</v>
      </c>
      <c r="P57" s="331" t="s">
        <v>629</v>
      </c>
      <c r="Q57" s="331" t="s">
        <v>294</v>
      </c>
      <c r="R57" s="332" t="s">
        <v>153</v>
      </c>
      <c r="S57" s="101"/>
      <c r="T57" s="101"/>
      <c r="V57" s="213" t="s">
        <v>288</v>
      </c>
      <c r="W57" s="331" t="s">
        <v>629</v>
      </c>
      <c r="X57" s="331" t="s">
        <v>294</v>
      </c>
      <c r="Y57" s="332" t="s">
        <v>153</v>
      </c>
    </row>
    <row r="58" spans="1:27" s="22" customFormat="1" ht="11.5" x14ac:dyDescent="0.25">
      <c r="A58" s="631" t="s">
        <v>991</v>
      </c>
      <c r="B58" s="632"/>
      <c r="C58" s="632"/>
      <c r="D58" s="633"/>
      <c r="H58" s="631" t="s">
        <v>991</v>
      </c>
      <c r="I58" s="632"/>
      <c r="J58" s="632"/>
      <c r="K58" s="633"/>
      <c r="L58" s="640"/>
      <c r="M58" s="640"/>
      <c r="O58" s="622" t="s">
        <v>991</v>
      </c>
      <c r="P58" s="623"/>
      <c r="Q58" s="623"/>
      <c r="R58" s="624"/>
      <c r="S58" s="640"/>
      <c r="T58" s="640"/>
      <c r="V58" s="622" t="s">
        <v>991</v>
      </c>
      <c r="W58" s="623"/>
      <c r="X58" s="623"/>
      <c r="Y58" s="624"/>
    </row>
    <row r="59" spans="1:27" s="22" customFormat="1" ht="11.5" x14ac:dyDescent="0.25">
      <c r="A59" s="637">
        <f>SUM(H59+O59+V59)</f>
        <v>134</v>
      </c>
      <c r="B59" s="638">
        <f>SUM(I59+P59+W59)</f>
        <v>909</v>
      </c>
      <c r="C59" s="638">
        <f>SUM(J59+Q59+X59)</f>
        <v>198</v>
      </c>
      <c r="D59" s="639">
        <f>SUM(A59:C59)</f>
        <v>1241</v>
      </c>
      <c r="H59" s="637">
        <v>125</v>
      </c>
      <c r="I59" s="638">
        <v>868</v>
      </c>
      <c r="J59" s="638">
        <v>164</v>
      </c>
      <c r="K59" s="639">
        <f>SUM(H59:J59)</f>
        <v>1157</v>
      </c>
      <c r="L59" s="503"/>
      <c r="M59" s="503"/>
      <c r="O59" s="626">
        <v>9</v>
      </c>
      <c r="P59" s="495">
        <v>32</v>
      </c>
      <c r="Q59" s="495">
        <v>28</v>
      </c>
      <c r="R59" s="627">
        <f>SUM(O59:Q59)</f>
        <v>69</v>
      </c>
      <c r="S59" s="503"/>
      <c r="T59" s="503"/>
      <c r="V59" s="626">
        <v>0</v>
      </c>
      <c r="W59" s="495">
        <v>9</v>
      </c>
      <c r="X59" s="495">
        <v>6</v>
      </c>
      <c r="Y59" s="627">
        <f>SUM(V59:X59)</f>
        <v>15</v>
      </c>
    </row>
    <row r="60" spans="1:27" s="22" customFormat="1" ht="11.5" x14ac:dyDescent="0.25">
      <c r="A60" s="631" t="s">
        <v>992</v>
      </c>
      <c r="B60" s="632"/>
      <c r="C60" s="632"/>
      <c r="D60" s="633"/>
      <c r="H60" s="631" t="s">
        <v>992</v>
      </c>
      <c r="I60" s="632"/>
      <c r="J60" s="632"/>
      <c r="K60" s="633"/>
      <c r="L60" s="640"/>
      <c r="M60" s="640"/>
      <c r="O60" s="622" t="s">
        <v>992</v>
      </c>
      <c r="P60" s="623"/>
      <c r="Q60" s="623"/>
      <c r="R60" s="624"/>
      <c r="S60" s="640"/>
      <c r="T60" s="640"/>
      <c r="V60" s="622" t="s">
        <v>992</v>
      </c>
      <c r="W60" s="623"/>
      <c r="X60" s="623"/>
      <c r="Y60" s="624"/>
    </row>
    <row r="61" spans="1:27" s="22" customFormat="1" ht="11.5" x14ac:dyDescent="0.25">
      <c r="A61" s="637">
        <f>SUM(H61+O61+V61)</f>
        <v>107</v>
      </c>
      <c r="B61" s="638">
        <f>SUM(I61+P61+W61)</f>
        <v>892</v>
      </c>
      <c r="C61" s="638">
        <f>SUM(J61+Q61+X61)</f>
        <v>196</v>
      </c>
      <c r="D61" s="639">
        <f>SUM(A61:C61)</f>
        <v>1195</v>
      </c>
      <c r="H61" s="637">
        <v>98</v>
      </c>
      <c r="I61" s="638">
        <v>851</v>
      </c>
      <c r="J61" s="638">
        <v>162</v>
      </c>
      <c r="K61" s="639">
        <f>SUM(H61:J61)</f>
        <v>1111</v>
      </c>
      <c r="L61" s="503"/>
      <c r="M61" s="503"/>
      <c r="O61" s="626">
        <v>9</v>
      </c>
      <c r="P61" s="495">
        <v>32</v>
      </c>
      <c r="Q61" s="495">
        <v>28</v>
      </c>
      <c r="R61" s="627">
        <f>SUM(O61:Q61)</f>
        <v>69</v>
      </c>
      <c r="S61" s="503"/>
      <c r="T61" s="503"/>
      <c r="V61" s="626">
        <v>0</v>
      </c>
      <c r="W61" s="495">
        <v>9</v>
      </c>
      <c r="X61" s="495">
        <v>6</v>
      </c>
      <c r="Y61" s="627">
        <f>SUM(V61:X61)</f>
        <v>15</v>
      </c>
    </row>
    <row r="62" spans="1:27" s="22" customFormat="1" ht="11.5" x14ac:dyDescent="0.25">
      <c r="A62" s="631" t="s">
        <v>993</v>
      </c>
      <c r="B62" s="632"/>
      <c r="C62" s="632"/>
      <c r="D62" s="633"/>
      <c r="H62" s="631" t="s">
        <v>993</v>
      </c>
      <c r="I62" s="632"/>
      <c r="J62" s="632"/>
      <c r="K62" s="633"/>
      <c r="L62" s="640"/>
      <c r="M62" s="640"/>
      <c r="O62" s="622" t="s">
        <v>993</v>
      </c>
      <c r="P62" s="623"/>
      <c r="Q62" s="623"/>
      <c r="R62" s="624"/>
      <c r="S62" s="640"/>
      <c r="T62" s="640"/>
      <c r="V62" s="622" t="s">
        <v>993</v>
      </c>
      <c r="W62" s="623"/>
      <c r="X62" s="623"/>
      <c r="Y62" s="624"/>
    </row>
    <row r="63" spans="1:27" s="22" customFormat="1" ht="11.5" x14ac:dyDescent="0.25">
      <c r="A63" s="637">
        <f>SUM(H63+O63+V63)</f>
        <v>27</v>
      </c>
      <c r="B63" s="638">
        <f>SUM(I63+P63+W63)</f>
        <v>17</v>
      </c>
      <c r="C63" s="638">
        <f>SUM(J63+Q63+X63)</f>
        <v>2</v>
      </c>
      <c r="D63" s="639">
        <f>SUM(A63:C63)</f>
        <v>46</v>
      </c>
      <c r="H63" s="637">
        <v>27</v>
      </c>
      <c r="I63" s="638">
        <v>17</v>
      </c>
      <c r="J63" s="638">
        <v>2</v>
      </c>
      <c r="K63" s="639">
        <f>SUM(H63:J63)</f>
        <v>46</v>
      </c>
      <c r="L63" s="503"/>
      <c r="M63" s="503"/>
      <c r="O63" s="626">
        <v>0</v>
      </c>
      <c r="P63" s="495">
        <v>0</v>
      </c>
      <c r="Q63" s="495">
        <v>0</v>
      </c>
      <c r="R63" s="627">
        <f>SUM(O63:Q63)</f>
        <v>0</v>
      </c>
      <c r="S63" s="503"/>
      <c r="T63" s="503"/>
      <c r="V63" s="626">
        <v>0</v>
      </c>
      <c r="W63" s="495">
        <v>0</v>
      </c>
      <c r="X63" s="495">
        <v>0</v>
      </c>
      <c r="Y63" s="627">
        <f>SUM(V63:X63)</f>
        <v>0</v>
      </c>
    </row>
    <row r="64" spans="1:27" s="22" customFormat="1" ht="11.5" x14ac:dyDescent="0.25">
      <c r="A64" s="631" t="s">
        <v>994</v>
      </c>
      <c r="B64" s="632"/>
      <c r="C64" s="632"/>
      <c r="D64" s="633"/>
      <c r="H64" s="631" t="s">
        <v>994</v>
      </c>
      <c r="I64" s="632"/>
      <c r="J64" s="632"/>
      <c r="K64" s="633"/>
      <c r="L64" s="640"/>
      <c r="M64" s="640"/>
      <c r="O64" s="622" t="s">
        <v>994</v>
      </c>
      <c r="P64" s="623"/>
      <c r="Q64" s="623"/>
      <c r="R64" s="624"/>
      <c r="S64" s="640"/>
      <c r="T64" s="640"/>
      <c r="V64" s="622" t="s">
        <v>994</v>
      </c>
      <c r="W64" s="623"/>
      <c r="X64" s="623"/>
      <c r="Y64" s="624"/>
    </row>
    <row r="65" spans="1:30" s="22" customFormat="1" ht="11.5" x14ac:dyDescent="0.25">
      <c r="A65" s="637">
        <f>SUM(H65+O65+V65)</f>
        <v>0</v>
      </c>
      <c r="B65" s="638">
        <f>SUM(I65+P65+W65)</f>
        <v>0</v>
      </c>
      <c r="C65" s="638">
        <f>SUM(J65+Q65+X65)</f>
        <v>0</v>
      </c>
      <c r="D65" s="639">
        <f>SUM(A65:C65)</f>
        <v>0</v>
      </c>
      <c r="H65" s="637">
        <v>0</v>
      </c>
      <c r="I65" s="638">
        <v>0</v>
      </c>
      <c r="J65" s="638">
        <v>0</v>
      </c>
      <c r="K65" s="639">
        <f>SUM(H65:J65)</f>
        <v>0</v>
      </c>
      <c r="L65" s="503"/>
      <c r="M65" s="503"/>
      <c r="O65" s="626">
        <v>0</v>
      </c>
      <c r="P65" s="495">
        <v>0</v>
      </c>
      <c r="Q65" s="495">
        <v>0</v>
      </c>
      <c r="R65" s="627">
        <f>SUM(O65:Q65)</f>
        <v>0</v>
      </c>
      <c r="S65" s="503"/>
      <c r="T65" s="503"/>
      <c r="V65" s="626">
        <v>0</v>
      </c>
      <c r="W65" s="495">
        <v>0</v>
      </c>
      <c r="X65" s="495">
        <v>0</v>
      </c>
      <c r="Y65" s="627">
        <f>SUM(V65:X65)</f>
        <v>0</v>
      </c>
    </row>
    <row r="66" spans="1:30" s="22" customFormat="1" ht="11.5" x14ac:dyDescent="0.25">
      <c r="A66" s="631" t="s">
        <v>995</v>
      </c>
      <c r="B66" s="632"/>
      <c r="C66" s="632"/>
      <c r="D66" s="633"/>
      <c r="H66" s="631" t="s">
        <v>995</v>
      </c>
      <c r="I66" s="632"/>
      <c r="J66" s="632"/>
      <c r="K66" s="633"/>
      <c r="L66" s="640"/>
      <c r="M66" s="640"/>
      <c r="O66" s="622" t="s">
        <v>995</v>
      </c>
      <c r="P66" s="623"/>
      <c r="Q66" s="623"/>
      <c r="R66" s="624"/>
      <c r="S66" s="640"/>
      <c r="T66" s="640"/>
      <c r="V66" s="622" t="s">
        <v>995</v>
      </c>
      <c r="W66" s="623"/>
      <c r="X66" s="623"/>
      <c r="Y66" s="624"/>
    </row>
    <row r="67" spans="1:30" s="22" customFormat="1" ht="11.5" x14ac:dyDescent="0.25">
      <c r="A67" s="637">
        <f>SUM(H67+O67+V67)</f>
        <v>134</v>
      </c>
      <c r="B67" s="638">
        <f>SUM(I67+P67+W67)</f>
        <v>908</v>
      </c>
      <c r="C67" s="638">
        <f>SUM(J67+Q67+X67)</f>
        <v>198</v>
      </c>
      <c r="D67" s="639">
        <f>SUM(A67:C67)</f>
        <v>1240</v>
      </c>
      <c r="H67" s="637">
        <v>125</v>
      </c>
      <c r="I67" s="638">
        <v>868</v>
      </c>
      <c r="J67" s="638">
        <v>164</v>
      </c>
      <c r="K67" s="639">
        <f>SUM(H67:J67)</f>
        <v>1157</v>
      </c>
      <c r="L67" s="503"/>
      <c r="M67" s="503"/>
      <c r="O67" s="626">
        <v>9</v>
      </c>
      <c r="P67" s="495">
        <v>31</v>
      </c>
      <c r="Q67" s="495">
        <v>28</v>
      </c>
      <c r="R67" s="627">
        <f>SUM(O67:Q67)</f>
        <v>68</v>
      </c>
      <c r="S67" s="503"/>
      <c r="T67" s="503"/>
      <c r="V67" s="626">
        <v>0</v>
      </c>
      <c r="W67" s="495">
        <v>9</v>
      </c>
      <c r="X67" s="495">
        <v>6</v>
      </c>
      <c r="Y67" s="627">
        <f>SUM(V67:X67)</f>
        <v>15</v>
      </c>
    </row>
    <row r="68" spans="1:30" s="22" customFormat="1" ht="11.5" x14ac:dyDescent="0.25">
      <c r="A68" s="631" t="s">
        <v>996</v>
      </c>
      <c r="B68" s="632"/>
      <c r="C68" s="632"/>
      <c r="D68" s="633"/>
      <c r="H68" s="631" t="s">
        <v>996</v>
      </c>
      <c r="I68" s="632"/>
      <c r="J68" s="632"/>
      <c r="K68" s="633"/>
      <c r="L68" s="640"/>
      <c r="M68" s="640"/>
      <c r="O68" s="622" t="s">
        <v>996</v>
      </c>
      <c r="P68" s="623"/>
      <c r="Q68" s="623"/>
      <c r="R68" s="624"/>
      <c r="S68" s="640"/>
      <c r="T68" s="640"/>
      <c r="V68" s="622" t="s">
        <v>996</v>
      </c>
      <c r="W68" s="623"/>
      <c r="X68" s="623"/>
      <c r="Y68" s="624"/>
    </row>
    <row r="69" spans="1:30" s="22" customFormat="1" ht="11.5" x14ac:dyDescent="0.25">
      <c r="A69" s="637">
        <f>SUM(H69+O69+V69)</f>
        <v>0</v>
      </c>
      <c r="B69" s="638">
        <f>SUM(I69+P69+W69)</f>
        <v>1</v>
      </c>
      <c r="C69" s="638">
        <f>SUM(J69+Q69+X69)</f>
        <v>0</v>
      </c>
      <c r="D69" s="639">
        <f>SUM(A69:C69)</f>
        <v>1</v>
      </c>
      <c r="H69" s="637">
        <v>0</v>
      </c>
      <c r="I69" s="638">
        <v>0</v>
      </c>
      <c r="J69" s="638">
        <v>0</v>
      </c>
      <c r="K69" s="639">
        <f>SUM(H69:J69)</f>
        <v>0</v>
      </c>
      <c r="L69" s="503"/>
      <c r="M69" s="503"/>
      <c r="O69" s="626">
        <v>0</v>
      </c>
      <c r="P69" s="495">
        <v>1</v>
      </c>
      <c r="Q69" s="495">
        <v>0</v>
      </c>
      <c r="R69" s="627">
        <f>SUM(O69:Q69)</f>
        <v>1</v>
      </c>
      <c r="S69" s="503"/>
      <c r="T69" s="503"/>
      <c r="V69" s="626">
        <v>0</v>
      </c>
      <c r="W69" s="495">
        <v>0</v>
      </c>
      <c r="X69" s="495">
        <v>0</v>
      </c>
      <c r="Y69" s="627">
        <f>SUM(V69:X69)</f>
        <v>0</v>
      </c>
    </row>
    <row r="70" spans="1:30" s="22" customFormat="1" ht="54.75" customHeight="1" x14ac:dyDescent="0.25">
      <c r="A70" s="966" t="s">
        <v>1295</v>
      </c>
      <c r="B70" s="967"/>
      <c r="C70" s="967"/>
      <c r="D70" s="967"/>
      <c r="E70" s="967"/>
      <c r="H70" s="971"/>
      <c r="I70" s="971"/>
      <c r="J70" s="971"/>
      <c r="K70" s="971"/>
      <c r="L70" s="85"/>
      <c r="M70" s="85"/>
      <c r="N70" s="85"/>
      <c r="O70" s="936"/>
      <c r="P70" s="936"/>
      <c r="Q70" s="936"/>
      <c r="R70" s="936"/>
      <c r="S70" s="85"/>
      <c r="T70" s="85"/>
      <c r="U70" s="85"/>
      <c r="V70" s="936"/>
      <c r="W70" s="936"/>
      <c r="X70" s="936"/>
      <c r="Y70" s="936"/>
      <c r="Z70" s="966"/>
      <c r="AA70" s="967"/>
      <c r="AB70" s="967"/>
      <c r="AC70" s="967"/>
      <c r="AD70" s="967"/>
    </row>
    <row r="71" spans="1:30" x14ac:dyDescent="0.3">
      <c r="D71" s="61"/>
    </row>
    <row r="72" spans="1:30" s="62" customFormat="1" ht="30" customHeight="1" thickBot="1" x14ac:dyDescent="0.45">
      <c r="A72" s="935" t="s">
        <v>1150</v>
      </c>
      <c r="B72" s="935"/>
      <c r="C72" s="935"/>
      <c r="D72" s="935"/>
      <c r="E72" s="935"/>
      <c r="F72" s="935"/>
      <c r="G72" s="935"/>
      <c r="H72" s="935"/>
      <c r="I72" s="935"/>
      <c r="J72" s="935"/>
      <c r="K72" s="935"/>
      <c r="L72" s="935"/>
      <c r="M72" s="15"/>
      <c r="N72" s="98"/>
    </row>
    <row r="73" spans="1:30" x14ac:dyDescent="0.3">
      <c r="A73" s="17" t="s">
        <v>280</v>
      </c>
    </row>
    <row r="75" spans="1:30" s="49" customFormat="1" ht="11.5" x14ac:dyDescent="0.25">
      <c r="A75" s="270" t="s">
        <v>630</v>
      </c>
      <c r="B75" s="321" t="s">
        <v>834</v>
      </c>
      <c r="C75" s="322" t="s">
        <v>1210</v>
      </c>
      <c r="D75" s="270" t="s">
        <v>283</v>
      </c>
      <c r="E75" s="270" t="s">
        <v>153</v>
      </c>
      <c r="G75" s="56"/>
      <c r="H75" s="270" t="s">
        <v>630</v>
      </c>
      <c r="I75" s="270" t="s">
        <v>276</v>
      </c>
      <c r="J75" s="270" t="s">
        <v>275</v>
      </c>
      <c r="K75" s="270" t="s">
        <v>153</v>
      </c>
    </row>
    <row r="76" spans="1:30" s="621" customFormat="1" ht="11.5" x14ac:dyDescent="0.25">
      <c r="A76" s="641" t="s">
        <v>471</v>
      </c>
      <c r="B76" s="642">
        <f>SUM(B77)</f>
        <v>888</v>
      </c>
      <c r="C76" s="642">
        <f t="shared" ref="C76:D76" si="10">SUM(C77)</f>
        <v>1391</v>
      </c>
      <c r="D76" s="642">
        <f t="shared" si="10"/>
        <v>93</v>
      </c>
      <c r="E76" s="643">
        <f>SUM(E77:E78)</f>
        <v>2482</v>
      </c>
      <c r="F76" s="539"/>
      <c r="G76" s="644"/>
      <c r="H76" s="641" t="s">
        <v>471</v>
      </c>
      <c r="I76" s="642">
        <f t="shared" ref="I76:J76" si="11">SUM(I77:I78)</f>
        <v>2223</v>
      </c>
      <c r="J76" s="642">
        <f t="shared" si="11"/>
        <v>149</v>
      </c>
      <c r="K76" s="645">
        <f>SUM(K77+K78)</f>
        <v>2482</v>
      </c>
    </row>
    <row r="77" spans="1:30" s="23" customFormat="1" ht="11.5" x14ac:dyDescent="0.25">
      <c r="A77" s="646" t="s">
        <v>545</v>
      </c>
      <c r="B77" s="647">
        <v>888</v>
      </c>
      <c r="C77" s="647">
        <v>1391</v>
      </c>
      <c r="D77" s="647">
        <v>93</v>
      </c>
      <c r="E77" s="643">
        <f>SUM(Table68[[#This Row],[Local - Community (1)]:[Foreign]])</f>
        <v>2372</v>
      </c>
      <c r="F77" s="539"/>
      <c r="G77" s="35"/>
      <c r="H77" s="646" t="s">
        <v>545</v>
      </c>
      <c r="I77" s="647">
        <v>2223</v>
      </c>
      <c r="J77" s="647">
        <v>149</v>
      </c>
      <c r="K77" s="643">
        <f>SUM(Table69[[#This Row],[Man]:[Woman]])</f>
        <v>2372</v>
      </c>
    </row>
    <row r="78" spans="1:30" s="23" customFormat="1" ht="11.5" x14ac:dyDescent="0.25">
      <c r="A78" s="648" t="s">
        <v>546</v>
      </c>
      <c r="B78" s="649" t="s">
        <v>293</v>
      </c>
      <c r="C78" s="649">
        <f>110</f>
        <v>110</v>
      </c>
      <c r="D78" s="649" t="s">
        <v>293</v>
      </c>
      <c r="E78" s="650">
        <v>110</v>
      </c>
      <c r="F78" s="539"/>
      <c r="G78" s="35"/>
      <c r="H78" s="648" t="s">
        <v>546</v>
      </c>
      <c r="I78" s="649" t="s">
        <v>293</v>
      </c>
      <c r="J78" s="649" t="s">
        <v>293</v>
      </c>
      <c r="K78" s="650">
        <v>110</v>
      </c>
    </row>
    <row r="79" spans="1:30" s="22" customFormat="1" ht="71.25" customHeight="1" x14ac:dyDescent="0.25">
      <c r="A79" s="966" t="s">
        <v>1297</v>
      </c>
      <c r="B79" s="967"/>
      <c r="C79" s="967"/>
      <c r="D79" s="967"/>
      <c r="E79" s="967"/>
      <c r="H79" s="481"/>
      <c r="I79" s="481"/>
      <c r="J79" s="481"/>
      <c r="K79" s="481"/>
      <c r="L79" s="85"/>
    </row>
    <row r="81" spans="1:14" s="60" customFormat="1" ht="11.5" x14ac:dyDescent="0.25">
      <c r="A81" s="314" t="s">
        <v>951</v>
      </c>
      <c r="B81" s="315" t="s">
        <v>548</v>
      </c>
      <c r="C81" s="316" t="s">
        <v>331</v>
      </c>
      <c r="D81" s="317" t="s">
        <v>330</v>
      </c>
      <c r="G81" s="56"/>
      <c r="H81" s="314" t="s">
        <v>631</v>
      </c>
      <c r="I81" s="315" t="s">
        <v>548</v>
      </c>
      <c r="J81" s="316" t="s">
        <v>331</v>
      </c>
      <c r="K81" s="317" t="s">
        <v>330</v>
      </c>
    </row>
    <row r="82" spans="1:14" s="60" customFormat="1" ht="11.5" x14ac:dyDescent="0.25">
      <c r="A82" s="329" t="s">
        <v>471</v>
      </c>
      <c r="B82" s="330">
        <f>B86+B90</f>
        <v>2482</v>
      </c>
      <c r="C82" s="330">
        <f t="shared" ref="C82" si="12">SUM(C83:C85)</f>
        <v>2209</v>
      </c>
      <c r="D82" s="330">
        <f>SUM(D83:D85)</f>
        <v>1623</v>
      </c>
      <c r="G82" s="56"/>
      <c r="H82" s="329" t="s">
        <v>471</v>
      </c>
      <c r="I82" s="330">
        <f>SUM(I83:I84)</f>
        <v>2482</v>
      </c>
      <c r="J82" s="330">
        <f>SUM(J83:J84)</f>
        <v>2209</v>
      </c>
      <c r="K82" s="330">
        <f>SUM(K83:K84)</f>
        <v>0</v>
      </c>
    </row>
    <row r="83" spans="1:14" s="22" customFormat="1" ht="11.5" x14ac:dyDescent="0.25">
      <c r="A83" s="651" t="s">
        <v>1155</v>
      </c>
      <c r="B83" s="652">
        <f>SUM(B87+B91)</f>
        <v>888</v>
      </c>
      <c r="C83" s="647">
        <f t="shared" ref="C83:D85" si="13">SUM(C87)</f>
        <v>0</v>
      </c>
      <c r="D83" s="647">
        <f t="shared" si="13"/>
        <v>991</v>
      </c>
      <c r="G83" s="35"/>
      <c r="H83" s="651" t="s">
        <v>276</v>
      </c>
      <c r="I83" s="652">
        <f>SUM(I86+I89)</f>
        <v>2333</v>
      </c>
      <c r="J83" s="647">
        <f>SUM(J86)</f>
        <v>2118</v>
      </c>
      <c r="K83" s="647" t="s">
        <v>293</v>
      </c>
    </row>
    <row r="84" spans="1:14" s="22" customFormat="1" ht="11.5" x14ac:dyDescent="0.25">
      <c r="A84" s="651" t="s">
        <v>1212</v>
      </c>
      <c r="B84" s="652">
        <f t="shared" ref="B84" si="14">SUM(B88+B92)</f>
        <v>1501</v>
      </c>
      <c r="C84" s="647">
        <f t="shared" si="13"/>
        <v>2077</v>
      </c>
      <c r="D84" s="647">
        <f t="shared" si="13"/>
        <v>599</v>
      </c>
      <c r="G84" s="35"/>
      <c r="H84" s="651" t="s">
        <v>275</v>
      </c>
      <c r="I84" s="652">
        <f>SUM(I87)</f>
        <v>149</v>
      </c>
      <c r="J84" s="647">
        <f t="shared" ref="J84" si="15">SUM(J87)</f>
        <v>91</v>
      </c>
      <c r="K84" s="647" t="s">
        <v>293</v>
      </c>
    </row>
    <row r="85" spans="1:14" s="22" customFormat="1" ht="11.5" x14ac:dyDescent="0.25">
      <c r="A85" s="651" t="s">
        <v>283</v>
      </c>
      <c r="B85" s="652">
        <f>SUM(B89+B93)</f>
        <v>93</v>
      </c>
      <c r="C85" s="647">
        <f t="shared" si="13"/>
        <v>132</v>
      </c>
      <c r="D85" s="647">
        <f t="shared" si="13"/>
        <v>33</v>
      </c>
      <c r="G85" s="35"/>
      <c r="H85" s="653" t="s">
        <v>545</v>
      </c>
      <c r="I85" s="654">
        <f>SUM(I86:I87)</f>
        <v>2372</v>
      </c>
      <c r="J85" s="654">
        <f>SUM(J86:J87)</f>
        <v>2209</v>
      </c>
      <c r="K85" s="654">
        <f>SUM(K86:K87)</f>
        <v>0</v>
      </c>
    </row>
    <row r="86" spans="1:14" s="60" customFormat="1" ht="11.5" x14ac:dyDescent="0.25">
      <c r="A86" s="329" t="s">
        <v>545</v>
      </c>
      <c r="B86" s="330">
        <f>SUM(B87:B89)</f>
        <v>2372</v>
      </c>
      <c r="C86" s="330">
        <f t="shared" ref="C86" si="16">SUM(C87:C89)</f>
        <v>2209</v>
      </c>
      <c r="D86" s="330">
        <f>SUM(D87:D89)</f>
        <v>1623</v>
      </c>
      <c r="G86" s="56"/>
      <c r="H86" s="318" t="s">
        <v>276</v>
      </c>
      <c r="I86" s="319">
        <v>2223</v>
      </c>
      <c r="J86" s="319">
        <v>2118</v>
      </c>
      <c r="K86" s="320" t="s">
        <v>293</v>
      </c>
    </row>
    <row r="87" spans="1:14" s="22" customFormat="1" ht="11.5" x14ac:dyDescent="0.25">
      <c r="A87" s="651" t="s">
        <v>1155</v>
      </c>
      <c r="B87" s="652">
        <f>B77</f>
        <v>888</v>
      </c>
      <c r="C87" s="652">
        <v>0</v>
      </c>
      <c r="D87" s="647">
        <v>991</v>
      </c>
      <c r="G87" s="35"/>
      <c r="H87" s="651" t="s">
        <v>275</v>
      </c>
      <c r="I87" s="652">
        <v>149</v>
      </c>
      <c r="J87" s="652">
        <v>91</v>
      </c>
      <c r="K87" s="647" t="s">
        <v>293</v>
      </c>
    </row>
    <row r="88" spans="1:14" s="22" customFormat="1" ht="11.5" x14ac:dyDescent="0.25">
      <c r="A88" s="651" t="s">
        <v>1212</v>
      </c>
      <c r="B88" s="652">
        <f>C77</f>
        <v>1391</v>
      </c>
      <c r="C88" s="652">
        <v>2077</v>
      </c>
      <c r="D88" s="647">
        <v>599</v>
      </c>
      <c r="G88" s="35"/>
      <c r="H88" s="653" t="s">
        <v>546</v>
      </c>
      <c r="I88" s="655">
        <f>SUM(I89:I90)</f>
        <v>110</v>
      </c>
      <c r="J88" s="656"/>
      <c r="K88" s="654"/>
    </row>
    <row r="89" spans="1:14" s="22" customFormat="1" ht="11.5" x14ac:dyDescent="0.25">
      <c r="A89" s="651" t="s">
        <v>283</v>
      </c>
      <c r="B89" s="652">
        <f>D77</f>
        <v>93</v>
      </c>
      <c r="C89" s="652">
        <v>132</v>
      </c>
      <c r="D89" s="647">
        <v>33</v>
      </c>
      <c r="G89" s="35"/>
      <c r="H89" s="651" t="s">
        <v>276</v>
      </c>
      <c r="I89" s="652">
        <v>110</v>
      </c>
      <c r="J89" s="657" t="s">
        <v>11</v>
      </c>
      <c r="K89" s="647" t="s">
        <v>11</v>
      </c>
    </row>
    <row r="90" spans="1:14" s="22" customFormat="1" ht="11.5" x14ac:dyDescent="0.25">
      <c r="A90" s="653" t="s">
        <v>546</v>
      </c>
      <c r="B90" s="655">
        <f>SUM(B91:B93)</f>
        <v>110</v>
      </c>
      <c r="C90" s="656"/>
      <c r="D90" s="654"/>
      <c r="G90" s="35"/>
      <c r="H90" s="658" t="s">
        <v>275</v>
      </c>
      <c r="I90" s="659">
        <v>0</v>
      </c>
      <c r="J90" s="660" t="s">
        <v>11</v>
      </c>
      <c r="K90" s="649" t="s">
        <v>11</v>
      </c>
    </row>
    <row r="91" spans="1:14" s="22" customFormat="1" ht="11.5" x14ac:dyDescent="0.25">
      <c r="A91" s="651" t="s">
        <v>1155</v>
      </c>
      <c r="B91" s="652">
        <v>0</v>
      </c>
      <c r="C91" s="657" t="s">
        <v>11</v>
      </c>
      <c r="D91" s="647" t="s">
        <v>11</v>
      </c>
      <c r="G91" s="35"/>
    </row>
    <row r="92" spans="1:14" s="22" customFormat="1" ht="11.5" x14ac:dyDescent="0.25">
      <c r="A92" s="651" t="s">
        <v>1212</v>
      </c>
      <c r="B92" s="652">
        <v>110</v>
      </c>
      <c r="C92" s="657" t="s">
        <v>11</v>
      </c>
      <c r="D92" s="647" t="s">
        <v>11</v>
      </c>
      <c r="G92" s="35"/>
    </row>
    <row r="93" spans="1:14" s="22" customFormat="1" ht="11.5" x14ac:dyDescent="0.25">
      <c r="A93" s="658" t="s">
        <v>283</v>
      </c>
      <c r="B93" s="661">
        <v>0</v>
      </c>
      <c r="C93" s="660" t="s">
        <v>11</v>
      </c>
      <c r="D93" s="649" t="s">
        <v>11</v>
      </c>
      <c r="G93" s="35"/>
    </row>
    <row r="94" spans="1:14" s="22" customFormat="1" ht="57" customHeight="1" x14ac:dyDescent="0.25">
      <c r="A94" s="966" t="s">
        <v>1297</v>
      </c>
      <c r="B94" s="967"/>
      <c r="C94" s="967"/>
      <c r="D94" s="967"/>
      <c r="E94" s="967"/>
    </row>
    <row r="95" spans="1:14" s="62" customFormat="1" ht="30" customHeight="1" thickBot="1" x14ac:dyDescent="0.45">
      <c r="A95" s="935" t="s">
        <v>1149</v>
      </c>
      <c r="B95" s="935"/>
      <c r="C95" s="935"/>
      <c r="D95" s="935"/>
      <c r="E95" s="935"/>
      <c r="F95" s="935"/>
      <c r="G95" s="935"/>
      <c r="H95" s="935"/>
      <c r="I95" s="935"/>
      <c r="J95" s="935"/>
      <c r="K95" s="935"/>
      <c r="L95" s="935"/>
      <c r="M95" s="15"/>
      <c r="N95" s="98"/>
    </row>
    <row r="96" spans="1:14" x14ac:dyDescent="0.3">
      <c r="A96" s="17" t="s">
        <v>284</v>
      </c>
    </row>
    <row r="98" spans="1:9" s="58" customFormat="1" ht="11.5" x14ac:dyDescent="0.25">
      <c r="A98" s="157" t="s">
        <v>632</v>
      </c>
      <c r="B98" s="157" t="s">
        <v>471</v>
      </c>
      <c r="C98" s="272" t="s">
        <v>545</v>
      </c>
      <c r="D98" s="272" t="s">
        <v>546</v>
      </c>
      <c r="E98" s="56"/>
      <c r="F98" s="60"/>
      <c r="G98" s="60"/>
      <c r="H98" s="60"/>
      <c r="I98" s="60"/>
    </row>
    <row r="99" spans="1:9" s="22" customFormat="1" ht="13" x14ac:dyDescent="0.25">
      <c r="A99" s="358" t="s">
        <v>633</v>
      </c>
      <c r="B99" s="662">
        <v>113</v>
      </c>
      <c r="C99" s="663">
        <v>95</v>
      </c>
      <c r="D99" s="663">
        <v>18</v>
      </c>
      <c r="E99" s="35"/>
    </row>
    <row r="100" spans="1:9" s="22" customFormat="1" ht="13" x14ac:dyDescent="0.25">
      <c r="A100" s="358" t="s">
        <v>634</v>
      </c>
      <c r="B100" s="664">
        <v>9.1861402095084616E-2</v>
      </c>
      <c r="C100" s="665">
        <v>8.2108902333621434E-2</v>
      </c>
      <c r="D100" s="665">
        <v>0.27536231884057971</v>
      </c>
      <c r="E100" s="35"/>
    </row>
    <row r="101" spans="1:9" s="22" customFormat="1" ht="13" x14ac:dyDescent="0.25">
      <c r="A101" s="358" t="s">
        <v>635</v>
      </c>
      <c r="B101" s="662">
        <v>148</v>
      </c>
      <c r="C101" s="663">
        <v>127</v>
      </c>
      <c r="D101" s="663">
        <v>21</v>
      </c>
      <c r="E101" s="35"/>
    </row>
    <row r="102" spans="1:9" s="22" customFormat="1" ht="13" x14ac:dyDescent="0.25">
      <c r="A102" s="358" t="s">
        <v>636</v>
      </c>
      <c r="B102" s="664">
        <v>0.11925866236905722</v>
      </c>
      <c r="C102" s="665">
        <v>0.1097666378565255</v>
      </c>
      <c r="D102" s="665">
        <v>0.30434782608695654</v>
      </c>
      <c r="E102" s="35"/>
    </row>
    <row r="103" spans="1:9" s="60" customFormat="1" ht="13" x14ac:dyDescent="0.3">
      <c r="A103" s="155" t="s">
        <v>637</v>
      </c>
      <c r="B103" s="312"/>
      <c r="C103" s="313"/>
      <c r="D103" s="313"/>
      <c r="E103" s="56"/>
    </row>
    <row r="104" spans="1:9" s="22" customFormat="1" ht="13" x14ac:dyDescent="0.25">
      <c r="A104" s="358" t="s">
        <v>638</v>
      </c>
      <c r="B104" s="662">
        <v>34</v>
      </c>
      <c r="C104" s="663">
        <v>30</v>
      </c>
      <c r="D104" s="663">
        <v>4</v>
      </c>
      <c r="E104" s="35"/>
    </row>
    <row r="105" spans="1:9" s="22" customFormat="1" ht="13" x14ac:dyDescent="0.25">
      <c r="A105" s="358" t="s">
        <v>639</v>
      </c>
      <c r="B105" s="666">
        <v>2.7397260273972601E-2</v>
      </c>
      <c r="C105" s="667">
        <v>2.6019080659150044E-2</v>
      </c>
      <c r="D105" s="667">
        <v>5.7971014492753624E-2</v>
      </c>
      <c r="E105" s="35"/>
    </row>
    <row r="106" spans="1:9" s="22" customFormat="1" ht="13" x14ac:dyDescent="0.25">
      <c r="A106" s="358" t="s">
        <v>640</v>
      </c>
      <c r="B106" s="662">
        <v>17</v>
      </c>
      <c r="C106" s="663">
        <v>13</v>
      </c>
      <c r="D106" s="663">
        <v>4</v>
      </c>
      <c r="E106" s="35"/>
    </row>
    <row r="107" spans="1:9" s="22" customFormat="1" ht="13" x14ac:dyDescent="0.25">
      <c r="A107" s="358" t="s">
        <v>641</v>
      </c>
      <c r="B107" s="666">
        <v>1.3698630136986301E-2</v>
      </c>
      <c r="C107" s="667">
        <v>1.1274934952298352E-2</v>
      </c>
      <c r="D107" s="667">
        <v>5.7971014492753624E-2</v>
      </c>
      <c r="E107" s="35"/>
    </row>
    <row r="108" spans="1:9" s="22" customFormat="1" ht="13" x14ac:dyDescent="0.25">
      <c r="A108" s="358" t="s">
        <v>642</v>
      </c>
      <c r="B108" s="662">
        <v>66</v>
      </c>
      <c r="C108" s="663">
        <v>57</v>
      </c>
      <c r="D108" s="663">
        <v>9</v>
      </c>
      <c r="E108" s="35"/>
    </row>
    <row r="109" spans="1:9" s="22" customFormat="1" ht="13" x14ac:dyDescent="0.25">
      <c r="A109" s="358" t="s">
        <v>643</v>
      </c>
      <c r="B109" s="666">
        <v>5.3182917002417403E-2</v>
      </c>
      <c r="C109" s="667">
        <v>4.9436253252385085E-2</v>
      </c>
      <c r="D109" s="667">
        <v>0.13043478260869565</v>
      </c>
      <c r="E109" s="35"/>
    </row>
    <row r="110" spans="1:9" s="22" customFormat="1" ht="13" x14ac:dyDescent="0.25">
      <c r="A110" s="358" t="s">
        <v>644</v>
      </c>
      <c r="B110" s="662">
        <v>96</v>
      </c>
      <c r="C110" s="663">
        <v>86</v>
      </c>
      <c r="D110" s="663">
        <v>10</v>
      </c>
      <c r="E110" s="35"/>
    </row>
    <row r="111" spans="1:9" s="22" customFormat="1" ht="13" x14ac:dyDescent="0.25">
      <c r="A111" s="358" t="s">
        <v>645</v>
      </c>
      <c r="B111" s="666">
        <v>7.7356970185334412E-2</v>
      </c>
      <c r="C111" s="667">
        <v>7.4588031222896797E-2</v>
      </c>
      <c r="D111" s="667">
        <v>0.14492753623188406</v>
      </c>
      <c r="E111" s="35"/>
    </row>
    <row r="112" spans="1:9" s="22" customFormat="1" ht="13" x14ac:dyDescent="0.25">
      <c r="A112" s="358" t="s">
        <v>646</v>
      </c>
      <c r="B112" s="662">
        <v>13</v>
      </c>
      <c r="C112" s="663">
        <v>8</v>
      </c>
      <c r="D112" s="663">
        <v>5</v>
      </c>
      <c r="E112" s="35"/>
    </row>
    <row r="113" spans="1:5" s="22" customFormat="1" ht="13" x14ac:dyDescent="0.25">
      <c r="A113" s="358" t="s">
        <v>647</v>
      </c>
      <c r="B113" s="666">
        <v>1.0475423045930701E-2</v>
      </c>
      <c r="C113" s="667">
        <v>6.938421509106678E-3</v>
      </c>
      <c r="D113" s="667">
        <v>7.2463768115942032E-2</v>
      </c>
      <c r="E113" s="35"/>
    </row>
    <row r="114" spans="1:5" s="22" customFormat="1" ht="13" x14ac:dyDescent="0.25">
      <c r="A114" s="358" t="s">
        <v>648</v>
      </c>
      <c r="B114" s="662">
        <v>35</v>
      </c>
      <c r="C114" s="663">
        <v>28</v>
      </c>
      <c r="D114" s="663">
        <v>7</v>
      </c>
      <c r="E114" s="35"/>
    </row>
    <row r="115" spans="1:5" s="22" customFormat="1" ht="13" x14ac:dyDescent="0.25">
      <c r="A115" s="358" t="s">
        <v>649</v>
      </c>
      <c r="B115" s="666">
        <v>2.9008863819500404E-2</v>
      </c>
      <c r="C115" s="667">
        <v>2.4284475281873375E-2</v>
      </c>
      <c r="D115" s="668">
        <v>0.11594202898550725</v>
      </c>
      <c r="E115" s="35"/>
    </row>
    <row r="116" spans="1:5" s="60" customFormat="1" ht="13" x14ac:dyDescent="0.3">
      <c r="A116" s="155" t="s">
        <v>650</v>
      </c>
      <c r="B116" s="312"/>
      <c r="C116" s="313"/>
      <c r="D116" s="313"/>
      <c r="E116" s="56"/>
    </row>
    <row r="117" spans="1:5" s="22" customFormat="1" ht="13" x14ac:dyDescent="0.25">
      <c r="A117" s="358" t="s">
        <v>651</v>
      </c>
      <c r="B117" s="662">
        <v>83</v>
      </c>
      <c r="C117" s="663">
        <v>75</v>
      </c>
      <c r="D117" s="663">
        <v>8</v>
      </c>
      <c r="E117" s="35"/>
    </row>
    <row r="118" spans="1:5" s="22" customFormat="1" ht="13" x14ac:dyDescent="0.25">
      <c r="A118" s="358" t="s">
        <v>652</v>
      </c>
      <c r="B118" s="664">
        <v>6.7687348912167614E-2</v>
      </c>
      <c r="C118" s="667">
        <v>6.5047701647875114E-2</v>
      </c>
      <c r="D118" s="669">
        <v>0.13043478260869565</v>
      </c>
      <c r="E118" s="35"/>
    </row>
    <row r="119" spans="1:5" s="22" customFormat="1" ht="13" x14ac:dyDescent="0.25">
      <c r="A119" s="358" t="s">
        <v>653</v>
      </c>
      <c r="B119" s="662">
        <v>120</v>
      </c>
      <c r="C119" s="663">
        <v>104</v>
      </c>
      <c r="D119" s="663">
        <v>16</v>
      </c>
      <c r="E119" s="35"/>
    </row>
    <row r="120" spans="1:5" s="22" customFormat="1" ht="13" x14ac:dyDescent="0.25">
      <c r="A120" s="358" t="s">
        <v>654</v>
      </c>
      <c r="B120" s="664">
        <v>9.6696212731668008E-2</v>
      </c>
      <c r="C120" s="667">
        <v>9.0199479618386813E-2</v>
      </c>
      <c r="D120" s="669">
        <v>0.2318840579710145</v>
      </c>
      <c r="E120" s="35"/>
    </row>
    <row r="121" spans="1:5" s="22" customFormat="1" ht="13" x14ac:dyDescent="0.25">
      <c r="A121" s="358" t="s">
        <v>655</v>
      </c>
      <c r="B121" s="662">
        <v>30</v>
      </c>
      <c r="C121" s="663">
        <v>20</v>
      </c>
      <c r="D121" s="663">
        <v>10</v>
      </c>
      <c r="E121" s="35"/>
    </row>
    <row r="122" spans="1:5" s="22" customFormat="1" ht="13" x14ac:dyDescent="0.25">
      <c r="A122" s="358" t="s">
        <v>656</v>
      </c>
      <c r="B122" s="664">
        <v>2.4174053182917002E-2</v>
      </c>
      <c r="C122" s="667">
        <v>1.7346053772766695E-2</v>
      </c>
      <c r="D122" s="669">
        <v>0.14492753623188406</v>
      </c>
      <c r="E122" s="35"/>
    </row>
    <row r="123" spans="1:5" s="22" customFormat="1" ht="13" x14ac:dyDescent="0.25">
      <c r="A123" s="358" t="s">
        <v>657</v>
      </c>
      <c r="B123" s="662">
        <v>28</v>
      </c>
      <c r="C123" s="663">
        <v>23</v>
      </c>
      <c r="D123" s="663">
        <v>5</v>
      </c>
      <c r="E123" s="35"/>
    </row>
    <row r="124" spans="1:5" s="22" customFormat="1" ht="13" x14ac:dyDescent="0.25">
      <c r="A124" s="358" t="s">
        <v>658</v>
      </c>
      <c r="B124" s="664">
        <v>2.2562449637389202E-2</v>
      </c>
      <c r="C124" s="667">
        <v>1.9947961838681701E-2</v>
      </c>
      <c r="D124" s="665">
        <v>7.2463768115942032E-2</v>
      </c>
      <c r="E124" s="35"/>
    </row>
    <row r="125" spans="1:5" s="60" customFormat="1" ht="13" x14ac:dyDescent="0.3">
      <c r="A125" s="155" t="s">
        <v>659</v>
      </c>
      <c r="B125" s="312"/>
      <c r="C125" s="313"/>
      <c r="D125" s="313"/>
      <c r="E125" s="56"/>
    </row>
    <row r="126" spans="1:5" s="22" customFormat="1" ht="13" x14ac:dyDescent="0.25">
      <c r="A126" s="358" t="s">
        <v>835</v>
      </c>
      <c r="B126" s="662">
        <v>43</v>
      </c>
      <c r="C126" s="663">
        <v>31</v>
      </c>
      <c r="D126" s="663">
        <v>12</v>
      </c>
      <c r="E126" s="35"/>
    </row>
    <row r="127" spans="1:5" s="22" customFormat="1" ht="13" x14ac:dyDescent="0.25">
      <c r="A127" s="358" t="s">
        <v>836</v>
      </c>
      <c r="B127" s="664">
        <v>3.4649476228847703E-2</v>
      </c>
      <c r="C127" s="667">
        <v>2.6886383347788378E-2</v>
      </c>
      <c r="D127" s="669">
        <v>0.17391304347826086</v>
      </c>
      <c r="E127" s="35"/>
    </row>
    <row r="128" spans="1:5" s="22" customFormat="1" ht="13" x14ac:dyDescent="0.25">
      <c r="A128" s="358" t="s">
        <v>837</v>
      </c>
      <c r="B128" s="662">
        <v>96</v>
      </c>
      <c r="C128" s="663">
        <v>85</v>
      </c>
      <c r="D128" s="663">
        <v>11</v>
      </c>
      <c r="E128" s="35"/>
    </row>
    <row r="129" spans="1:10" s="22" customFormat="1" ht="13" x14ac:dyDescent="0.25">
      <c r="A129" s="358" t="s">
        <v>838</v>
      </c>
      <c r="B129" s="664">
        <v>7.7356970185334412E-2</v>
      </c>
      <c r="C129" s="667">
        <v>7.3720728534258456E-2</v>
      </c>
      <c r="D129" s="669">
        <v>0.15942028985507245</v>
      </c>
      <c r="E129" s="35"/>
    </row>
    <row r="130" spans="1:10" s="22" customFormat="1" ht="13" x14ac:dyDescent="0.25">
      <c r="A130" s="358" t="s">
        <v>1213</v>
      </c>
      <c r="B130" s="662">
        <v>50</v>
      </c>
      <c r="C130" s="663">
        <v>44</v>
      </c>
      <c r="D130" s="663">
        <v>6</v>
      </c>
      <c r="E130" s="35"/>
    </row>
    <row r="131" spans="1:10" s="22" customFormat="1" ht="13" x14ac:dyDescent="0.25">
      <c r="A131" s="358" t="s">
        <v>1214</v>
      </c>
      <c r="B131" s="664">
        <v>4.0290088638195005E-2</v>
      </c>
      <c r="C131" s="668">
        <v>3.8161318300086733E-2</v>
      </c>
      <c r="D131" s="669">
        <v>8.6956521739130432E-2</v>
      </c>
      <c r="E131" s="35"/>
    </row>
    <row r="132" spans="1:10" s="22" customFormat="1" ht="13" x14ac:dyDescent="0.25">
      <c r="A132" s="358" t="s">
        <v>1215</v>
      </c>
      <c r="B132" s="662">
        <v>43</v>
      </c>
      <c r="C132" s="663">
        <v>33</v>
      </c>
      <c r="D132" s="663">
        <v>10</v>
      </c>
      <c r="E132" s="35"/>
    </row>
    <row r="133" spans="1:10" s="22" customFormat="1" ht="13" x14ac:dyDescent="0.25">
      <c r="A133" s="358" t="s">
        <v>1216</v>
      </c>
      <c r="B133" s="664">
        <v>3.4649476228847703E-2</v>
      </c>
      <c r="C133" s="667">
        <v>2.8620988725065046E-2</v>
      </c>
      <c r="D133" s="669">
        <v>0.14492753623188406</v>
      </c>
      <c r="E133" s="35"/>
    </row>
    <row r="134" spans="1:10" s="22" customFormat="1" ht="13" x14ac:dyDescent="0.25">
      <c r="A134" s="358" t="s">
        <v>1217</v>
      </c>
      <c r="B134" s="662">
        <v>96</v>
      </c>
      <c r="C134" s="663">
        <v>75</v>
      </c>
      <c r="D134" s="663">
        <v>21</v>
      </c>
      <c r="E134" s="35"/>
    </row>
    <row r="135" spans="1:10" s="22" customFormat="1" ht="13" x14ac:dyDescent="0.25">
      <c r="A135" s="358" t="s">
        <v>1218</v>
      </c>
      <c r="B135" s="664">
        <v>7.7356970185334412E-2</v>
      </c>
      <c r="C135" s="667">
        <v>6.5047701647875114E-2</v>
      </c>
      <c r="D135" s="669">
        <v>0.30434782608695654</v>
      </c>
      <c r="E135" s="35"/>
    </row>
    <row r="136" spans="1:10" s="22" customFormat="1" ht="13" x14ac:dyDescent="0.25">
      <c r="A136" s="358" t="s">
        <v>1219</v>
      </c>
      <c r="B136" s="662">
        <v>139</v>
      </c>
      <c r="C136" s="663">
        <v>118</v>
      </c>
      <c r="D136" s="663">
        <v>21</v>
      </c>
      <c r="E136" s="35"/>
    </row>
    <row r="137" spans="1:10" s="22" customFormat="1" ht="13" x14ac:dyDescent="0.25">
      <c r="A137" s="358" t="s">
        <v>1220</v>
      </c>
      <c r="B137" s="664">
        <v>0.11200644641418211</v>
      </c>
      <c r="C137" s="667">
        <v>0.10234171725932351</v>
      </c>
      <c r="D137" s="669">
        <v>0.30434782608695654</v>
      </c>
      <c r="E137" s="35"/>
    </row>
    <row r="138" spans="1:10" s="22" customFormat="1" ht="13" x14ac:dyDescent="0.25">
      <c r="A138" s="358" t="s">
        <v>660</v>
      </c>
      <c r="B138" s="662">
        <v>20</v>
      </c>
      <c r="C138" s="663">
        <v>20</v>
      </c>
      <c r="D138" s="663">
        <v>0</v>
      </c>
      <c r="E138" s="35"/>
    </row>
    <row r="139" spans="1:10" s="22" customFormat="1" ht="13" x14ac:dyDescent="0.25">
      <c r="A139" s="358" t="s">
        <v>661</v>
      </c>
      <c r="B139" s="664">
        <v>1.6921837228041903E-2</v>
      </c>
      <c r="C139" s="667">
        <v>1.7346053772766695E-2</v>
      </c>
      <c r="D139" s="669">
        <v>1.4492753623188406E-2</v>
      </c>
      <c r="E139" s="35"/>
    </row>
    <row r="140" spans="1:10" s="22" customFormat="1" ht="13" x14ac:dyDescent="0.25">
      <c r="A140" s="358" t="s">
        <v>662</v>
      </c>
      <c r="B140" s="662">
        <v>9</v>
      </c>
      <c r="C140" s="663">
        <v>9</v>
      </c>
      <c r="D140" s="663">
        <v>0</v>
      </c>
      <c r="E140" s="35"/>
    </row>
    <row r="141" spans="1:10" s="22" customFormat="1" ht="13" x14ac:dyDescent="0.25">
      <c r="A141" s="363" t="s">
        <v>663</v>
      </c>
      <c r="B141" s="670">
        <v>7.2522159548751011E-3</v>
      </c>
      <c r="C141" s="671">
        <v>7.8057241977450131E-3</v>
      </c>
      <c r="D141" s="672">
        <v>0</v>
      </c>
      <c r="E141" s="35"/>
    </row>
    <row r="142" spans="1:10" s="22" customFormat="1" ht="76.5" customHeight="1" x14ac:dyDescent="0.25">
      <c r="A142" s="936" t="s">
        <v>1298</v>
      </c>
      <c r="B142" s="936"/>
      <c r="C142" s="936"/>
      <c r="D142" s="936"/>
      <c r="E142" s="35"/>
    </row>
    <row r="143" spans="1:10" ht="25.5" customHeight="1" x14ac:dyDescent="0.3">
      <c r="A143" s="102"/>
      <c r="B143" s="103"/>
      <c r="C143" s="103"/>
      <c r="D143" s="103"/>
      <c r="E143" s="103"/>
    </row>
    <row r="144" spans="1:10" s="60" customFormat="1" ht="11.5" x14ac:dyDescent="0.25">
      <c r="A144" s="300" t="s">
        <v>285</v>
      </c>
      <c r="B144" s="301">
        <v>2022</v>
      </c>
      <c r="C144" s="301"/>
      <c r="D144" s="301"/>
      <c r="E144" s="301">
        <v>2021</v>
      </c>
      <c r="F144" s="301"/>
      <c r="G144" s="301"/>
      <c r="H144" s="301">
        <v>2020</v>
      </c>
      <c r="I144" s="301"/>
      <c r="J144" s="302"/>
    </row>
    <row r="145" spans="1:10" s="60" customFormat="1" ht="11.5" x14ac:dyDescent="0.25">
      <c r="A145" s="300"/>
      <c r="B145" s="303" t="s">
        <v>954</v>
      </c>
      <c r="C145" s="303" t="s">
        <v>953</v>
      </c>
      <c r="D145" s="303" t="s">
        <v>664</v>
      </c>
      <c r="E145" s="303" t="s">
        <v>954</v>
      </c>
      <c r="F145" s="303" t="s">
        <v>953</v>
      </c>
      <c r="G145" s="303" t="str">
        <f>J145</f>
        <v>% New employee population</v>
      </c>
      <c r="H145" s="303" t="s">
        <v>952</v>
      </c>
      <c r="I145" s="303" t="s">
        <v>953</v>
      </c>
      <c r="J145" s="304" t="s">
        <v>664</v>
      </c>
    </row>
    <row r="146" spans="1:10" s="72" customFormat="1" ht="11.5" x14ac:dyDescent="0.25">
      <c r="A146" s="308" t="s">
        <v>286</v>
      </c>
      <c r="B146" s="309"/>
      <c r="C146" s="309"/>
      <c r="D146" s="309"/>
      <c r="E146" s="309"/>
      <c r="F146" s="309"/>
      <c r="G146" s="309"/>
      <c r="H146" s="309"/>
      <c r="I146" s="309"/>
      <c r="J146" s="310"/>
    </row>
    <row r="147" spans="1:10" s="22" customFormat="1" ht="11.5" x14ac:dyDescent="0.25">
      <c r="A147" s="673" t="s">
        <v>471</v>
      </c>
      <c r="B147" s="674">
        <v>113</v>
      </c>
      <c r="C147" s="411">
        <v>9.1861402095084616E-2</v>
      </c>
      <c r="D147" s="411"/>
      <c r="E147" s="674">
        <v>97</v>
      </c>
      <c r="F147" s="411">
        <v>0.09</v>
      </c>
      <c r="G147" s="411"/>
      <c r="H147" s="674">
        <v>63</v>
      </c>
      <c r="I147" s="675">
        <v>5.8799999999999998E-2</v>
      </c>
      <c r="J147" s="676"/>
    </row>
    <row r="148" spans="1:10" s="22" customFormat="1" ht="11.5" x14ac:dyDescent="0.25">
      <c r="A148" s="414" t="s">
        <v>545</v>
      </c>
      <c r="B148" s="493">
        <v>95</v>
      </c>
      <c r="C148" s="677">
        <v>8.2108902333621434E-2</v>
      </c>
      <c r="D148" s="677">
        <v>0.84</v>
      </c>
      <c r="E148" s="493">
        <v>97</v>
      </c>
      <c r="F148" s="677">
        <v>0.09</v>
      </c>
      <c r="G148" s="677">
        <v>1</v>
      </c>
      <c r="H148" s="493">
        <v>63</v>
      </c>
      <c r="I148" s="678">
        <v>5.8799999999999998E-2</v>
      </c>
      <c r="J148" s="679">
        <v>1</v>
      </c>
    </row>
    <row r="149" spans="1:10" s="22" customFormat="1" ht="11.5" x14ac:dyDescent="0.25">
      <c r="A149" s="414" t="s">
        <v>546</v>
      </c>
      <c r="B149" s="493">
        <v>18</v>
      </c>
      <c r="C149" s="677">
        <v>0.26</v>
      </c>
      <c r="D149" s="677">
        <v>0.16</v>
      </c>
      <c r="E149" s="493" t="s">
        <v>11</v>
      </c>
      <c r="F149" s="493" t="s">
        <v>11</v>
      </c>
      <c r="G149" s="680" t="s">
        <v>11</v>
      </c>
      <c r="H149" s="493" t="s">
        <v>11</v>
      </c>
      <c r="I149" s="493" t="s">
        <v>11</v>
      </c>
      <c r="J149" s="681" t="s">
        <v>11</v>
      </c>
    </row>
    <row r="150" spans="1:10" s="72" customFormat="1" ht="11.5" x14ac:dyDescent="0.25">
      <c r="A150" s="308" t="s">
        <v>287</v>
      </c>
      <c r="B150" s="309"/>
      <c r="C150" s="309"/>
      <c r="D150" s="309"/>
      <c r="E150" s="309"/>
      <c r="F150" s="309"/>
      <c r="G150" s="309"/>
      <c r="H150" s="309"/>
      <c r="I150" s="309"/>
      <c r="J150" s="310"/>
    </row>
    <row r="151" spans="1:10" s="22" customFormat="1" ht="11.5" x14ac:dyDescent="0.25">
      <c r="A151" s="414" t="s">
        <v>288</v>
      </c>
      <c r="B151" s="493">
        <v>34</v>
      </c>
      <c r="C151" s="682">
        <v>2.7397260273972601E-2</v>
      </c>
      <c r="D151" s="682">
        <v>0.2982456140350877</v>
      </c>
      <c r="E151" s="493">
        <v>26</v>
      </c>
      <c r="F151" s="677">
        <v>2.2968197879858657E-2</v>
      </c>
      <c r="G151" s="677">
        <v>0.26804123711340205</v>
      </c>
      <c r="H151" s="493">
        <v>14</v>
      </c>
      <c r="I151" s="678">
        <v>1.3100000000000001E-2</v>
      </c>
      <c r="J151" s="683">
        <v>0.22222222222222221</v>
      </c>
    </row>
    <row r="152" spans="1:10" s="22" customFormat="1" ht="11.5" x14ac:dyDescent="0.25">
      <c r="A152" s="414" t="s">
        <v>289</v>
      </c>
      <c r="B152" s="493">
        <v>66</v>
      </c>
      <c r="C152" s="682">
        <v>5.3182917002417403E-2</v>
      </c>
      <c r="D152" s="682">
        <v>0.57894736842105265</v>
      </c>
      <c r="E152" s="493">
        <v>68</v>
      </c>
      <c r="F152" s="677">
        <v>6.0070671378091869E-2</v>
      </c>
      <c r="G152" s="677">
        <v>0.7010309278350515</v>
      </c>
      <c r="H152" s="493">
        <v>38</v>
      </c>
      <c r="I152" s="678">
        <v>3.5499999999999997E-2</v>
      </c>
      <c r="J152" s="683">
        <v>0.60317460317460314</v>
      </c>
    </row>
    <row r="153" spans="1:10" s="22" customFormat="1" ht="11.5" x14ac:dyDescent="0.25">
      <c r="A153" s="414" t="s">
        <v>290</v>
      </c>
      <c r="B153" s="493">
        <v>13</v>
      </c>
      <c r="C153" s="682">
        <v>1.0475423045930701E-2</v>
      </c>
      <c r="D153" s="682">
        <v>0.11403508771929824</v>
      </c>
      <c r="E153" s="493">
        <v>3</v>
      </c>
      <c r="F153" s="677">
        <v>2.6501766784452299E-3</v>
      </c>
      <c r="G153" s="677">
        <v>3.0927835051546393E-2</v>
      </c>
      <c r="H153" s="493">
        <v>11</v>
      </c>
      <c r="I153" s="678">
        <v>1.03E-2</v>
      </c>
      <c r="J153" s="683">
        <v>0.17460317460317459</v>
      </c>
    </row>
    <row r="154" spans="1:10" s="72" customFormat="1" ht="11.5" x14ac:dyDescent="0.25">
      <c r="A154" s="308" t="s">
        <v>1221</v>
      </c>
      <c r="B154" s="309"/>
      <c r="C154" s="309"/>
      <c r="D154" s="309"/>
      <c r="E154" s="309"/>
      <c r="F154" s="309"/>
      <c r="G154" s="309"/>
      <c r="H154" s="309"/>
      <c r="I154" s="309"/>
      <c r="J154" s="310"/>
    </row>
    <row r="155" spans="1:10" s="22" customFormat="1" ht="11.5" x14ac:dyDescent="0.25">
      <c r="A155" s="414" t="s">
        <v>281</v>
      </c>
      <c r="B155" s="493">
        <v>30</v>
      </c>
      <c r="C155" s="682">
        <v>2.4174053182917002E-2</v>
      </c>
      <c r="D155" s="677">
        <v>0.27</v>
      </c>
      <c r="E155" s="493">
        <v>21</v>
      </c>
      <c r="F155" s="677">
        <v>1.8551236749116608E-2</v>
      </c>
      <c r="G155" s="677">
        <v>0.21649484536082475</v>
      </c>
      <c r="H155" s="493">
        <v>10</v>
      </c>
      <c r="I155" s="678">
        <v>4.9500000000000002E-2</v>
      </c>
      <c r="J155" s="683">
        <v>0.15873015873015872</v>
      </c>
    </row>
    <row r="156" spans="1:10" s="22" customFormat="1" ht="11.5" x14ac:dyDescent="0.25">
      <c r="A156" s="414" t="s">
        <v>282</v>
      </c>
      <c r="B156" s="493">
        <v>83</v>
      </c>
      <c r="C156" s="682">
        <v>6.7687348912167614E-2</v>
      </c>
      <c r="D156" s="677">
        <v>0.73</v>
      </c>
      <c r="E156" s="684">
        <v>76</v>
      </c>
      <c r="F156" s="677">
        <v>6.7137809187279157E-2</v>
      </c>
      <c r="G156" s="677">
        <v>0.78350515463917525</v>
      </c>
      <c r="H156" s="493">
        <v>53</v>
      </c>
      <c r="I156" s="678">
        <v>9.2999999999999992E-3</v>
      </c>
      <c r="J156" s="683">
        <v>0.84126984126984128</v>
      </c>
    </row>
    <row r="157" spans="1:10" s="72" customFormat="1" ht="11.5" x14ac:dyDescent="0.25">
      <c r="A157" s="308" t="s">
        <v>292</v>
      </c>
      <c r="B157" s="309"/>
      <c r="C157" s="309"/>
      <c r="D157" s="309"/>
      <c r="E157" s="309"/>
      <c r="F157" s="309"/>
      <c r="G157" s="309"/>
      <c r="H157" s="309"/>
      <c r="I157" s="309"/>
      <c r="J157" s="310"/>
    </row>
    <row r="158" spans="1:10" s="22" customFormat="1" ht="11.5" x14ac:dyDescent="0.25">
      <c r="A158" s="414" t="s">
        <v>1222</v>
      </c>
      <c r="B158" s="493">
        <v>43</v>
      </c>
      <c r="C158" s="682">
        <v>3.4649476228847703E-2</v>
      </c>
      <c r="D158" s="682">
        <v>0.37719298245614036</v>
      </c>
      <c r="E158" s="493">
        <v>31</v>
      </c>
      <c r="F158" s="677">
        <v>2.7385159010600707E-2</v>
      </c>
      <c r="G158" s="677">
        <v>0.31958762886597936</v>
      </c>
      <c r="H158" s="493" t="s">
        <v>293</v>
      </c>
      <c r="I158" s="493" t="s">
        <v>293</v>
      </c>
      <c r="J158" s="681" t="s">
        <v>293</v>
      </c>
    </row>
    <row r="159" spans="1:10" s="22" customFormat="1" ht="11.5" x14ac:dyDescent="0.25">
      <c r="A159" s="414" t="s">
        <v>1223</v>
      </c>
      <c r="B159" s="493">
        <v>50</v>
      </c>
      <c r="C159" s="682">
        <v>4.0290088638195005E-2</v>
      </c>
      <c r="D159" s="682">
        <v>0.43859649122807015</v>
      </c>
      <c r="E159" s="493">
        <v>44</v>
      </c>
      <c r="F159" s="677">
        <v>3.8869257950530034E-2</v>
      </c>
      <c r="G159" s="677">
        <v>0.45360824742268041</v>
      </c>
      <c r="H159" s="493" t="s">
        <v>293</v>
      </c>
      <c r="I159" s="493" t="s">
        <v>293</v>
      </c>
      <c r="J159" s="681" t="s">
        <v>293</v>
      </c>
    </row>
    <row r="160" spans="1:10" s="22" customFormat="1" ht="11.5" x14ac:dyDescent="0.25">
      <c r="A160" s="414" t="s">
        <v>283</v>
      </c>
      <c r="B160" s="685">
        <v>20</v>
      </c>
      <c r="C160" s="677">
        <v>1.6921837228041903E-2</v>
      </c>
      <c r="D160" s="677">
        <v>0.18421052631578946</v>
      </c>
      <c r="E160" s="493">
        <v>22</v>
      </c>
      <c r="F160" s="677">
        <v>1.9434628975265017E-2</v>
      </c>
      <c r="G160" s="677">
        <v>0.22680412371134021</v>
      </c>
      <c r="H160" s="493" t="s">
        <v>293</v>
      </c>
      <c r="I160" s="493" t="s">
        <v>293</v>
      </c>
      <c r="J160" s="681" t="s">
        <v>293</v>
      </c>
    </row>
    <row r="161" spans="1:8" s="22" customFormat="1" ht="76.5" customHeight="1" x14ac:dyDescent="0.25">
      <c r="A161" s="936" t="s">
        <v>1299</v>
      </c>
      <c r="B161" s="936"/>
      <c r="C161" s="936"/>
      <c r="D161" s="936"/>
      <c r="E161" s="936"/>
      <c r="F161" s="936"/>
      <c r="G161" s="936"/>
      <c r="H161" s="936"/>
    </row>
    <row r="163" spans="1:8" s="60" customFormat="1" ht="11.5" x14ac:dyDescent="0.25">
      <c r="A163" s="300" t="s">
        <v>665</v>
      </c>
      <c r="B163" s="972">
        <v>2022</v>
      </c>
      <c r="C163" s="972"/>
      <c r="D163" s="301">
        <v>2021</v>
      </c>
      <c r="E163" s="301"/>
      <c r="F163" s="972">
        <v>2020</v>
      </c>
      <c r="G163" s="973"/>
    </row>
    <row r="164" spans="1:8" s="60" customFormat="1" ht="11.5" x14ac:dyDescent="0.25">
      <c r="A164" s="300"/>
      <c r="B164" s="303" t="s">
        <v>666</v>
      </c>
      <c r="C164" s="303" t="s">
        <v>295</v>
      </c>
      <c r="D164" s="303" t="s">
        <v>666</v>
      </c>
      <c r="E164" s="303" t="s">
        <v>295</v>
      </c>
      <c r="F164" s="303" t="s">
        <v>666</v>
      </c>
      <c r="G164" s="304" t="s">
        <v>295</v>
      </c>
    </row>
    <row r="165" spans="1:8" s="72" customFormat="1" ht="11.5" x14ac:dyDescent="0.25">
      <c r="A165" s="308" t="s">
        <v>286</v>
      </c>
      <c r="B165" s="309"/>
      <c r="C165" s="309"/>
      <c r="D165" s="309"/>
      <c r="E165" s="309"/>
      <c r="F165" s="309"/>
      <c r="G165" s="310"/>
    </row>
    <row r="166" spans="1:8" s="22" customFormat="1" ht="11.5" x14ac:dyDescent="0.25">
      <c r="A166" s="673" t="s">
        <v>471</v>
      </c>
      <c r="B166" s="674">
        <f>C101</f>
        <v>127</v>
      </c>
      <c r="C166" s="411">
        <f>B102</f>
        <v>0.11925866236905722</v>
      </c>
      <c r="D166" s="674">
        <f>D167</f>
        <v>74</v>
      </c>
      <c r="E166" s="411">
        <f>E167</f>
        <v>6.54E-2</v>
      </c>
      <c r="F166" s="674">
        <f>F167</f>
        <v>34</v>
      </c>
      <c r="G166" s="676">
        <f t="shared" ref="G166" si="17">G167</f>
        <v>3.2099999999999997E-2</v>
      </c>
    </row>
    <row r="167" spans="1:8" s="22" customFormat="1" ht="11.5" x14ac:dyDescent="0.25">
      <c r="A167" s="414" t="s">
        <v>545</v>
      </c>
      <c r="B167" s="493">
        <f>D101</f>
        <v>21</v>
      </c>
      <c r="C167" s="682">
        <f>D102</f>
        <v>0.30434782608695654</v>
      </c>
      <c r="D167" s="493">
        <f>34+5+32+3</f>
        <v>74</v>
      </c>
      <c r="E167" s="686">
        <v>6.54E-2</v>
      </c>
      <c r="F167" s="493">
        <f>16+8+7+3</f>
        <v>34</v>
      </c>
      <c r="G167" s="679">
        <v>3.2099999999999997E-2</v>
      </c>
    </row>
    <row r="168" spans="1:8" s="22" customFormat="1" ht="11.5" x14ac:dyDescent="0.25">
      <c r="A168" s="414" t="s">
        <v>546</v>
      </c>
      <c r="B168" s="493">
        <f>E101</f>
        <v>0</v>
      </c>
      <c r="C168" s="682">
        <f>E102</f>
        <v>0</v>
      </c>
      <c r="D168" s="493" t="s">
        <v>11</v>
      </c>
      <c r="E168" s="493" t="s">
        <v>11</v>
      </c>
      <c r="F168" s="493" t="s">
        <v>11</v>
      </c>
      <c r="G168" s="681" t="s">
        <v>11</v>
      </c>
    </row>
    <row r="169" spans="1:8" s="72" customFormat="1" ht="11.5" x14ac:dyDescent="0.25">
      <c r="A169" s="308" t="s">
        <v>287</v>
      </c>
      <c r="B169" s="309"/>
      <c r="C169" s="311"/>
      <c r="D169" s="309"/>
      <c r="E169" s="309"/>
      <c r="F169" s="309"/>
      <c r="G169" s="310"/>
    </row>
    <row r="170" spans="1:8" s="22" customFormat="1" ht="11.5" x14ac:dyDescent="0.25">
      <c r="A170" s="414" t="s">
        <v>288</v>
      </c>
      <c r="B170" s="493">
        <f>C106</f>
        <v>13</v>
      </c>
      <c r="C170" s="682">
        <f>C107</f>
        <v>1.1274934952298352E-2</v>
      </c>
      <c r="D170" s="493">
        <f>3+2</f>
        <v>5</v>
      </c>
      <c r="E170" s="686">
        <v>4.4000000000000003E-3</v>
      </c>
      <c r="F170" s="493">
        <f>4+4</f>
        <v>8</v>
      </c>
      <c r="G170" s="679">
        <v>7.4999999999999997E-3</v>
      </c>
    </row>
    <row r="171" spans="1:8" s="22" customFormat="1" ht="11.5" x14ac:dyDescent="0.25">
      <c r="A171" s="414" t="s">
        <v>289</v>
      </c>
      <c r="B171" s="493">
        <f>C110</f>
        <v>86</v>
      </c>
      <c r="C171" s="682">
        <f>C111</f>
        <v>7.4588031222896797E-2</v>
      </c>
      <c r="D171" s="493">
        <f>20+25</f>
        <v>45</v>
      </c>
      <c r="E171" s="686">
        <v>3.9800000000000002E-2</v>
      </c>
      <c r="F171" s="493">
        <f>16+3</f>
        <v>19</v>
      </c>
      <c r="G171" s="679">
        <v>1.7899999999999999E-2</v>
      </c>
    </row>
    <row r="172" spans="1:8" s="22" customFormat="1" ht="11.5" x14ac:dyDescent="0.25">
      <c r="A172" s="414" t="s">
        <v>290</v>
      </c>
      <c r="B172" s="493">
        <f>C114</f>
        <v>28</v>
      </c>
      <c r="C172" s="682">
        <f>C115</f>
        <v>2.4284475281873375E-2</v>
      </c>
      <c r="D172" s="493">
        <f>16+8</f>
        <v>24</v>
      </c>
      <c r="E172" s="686">
        <v>2.12E-2</v>
      </c>
      <c r="F172" s="493">
        <f>3+4</f>
        <v>7</v>
      </c>
      <c r="G172" s="679">
        <v>6.6E-3</v>
      </c>
    </row>
    <row r="173" spans="1:8" s="72" customFormat="1" ht="11.5" x14ac:dyDescent="0.25">
      <c r="A173" s="308" t="s">
        <v>291</v>
      </c>
      <c r="B173" s="309"/>
      <c r="C173" s="311"/>
      <c r="D173" s="309"/>
      <c r="E173" s="309"/>
      <c r="F173" s="309"/>
      <c r="G173" s="310"/>
    </row>
    <row r="174" spans="1:8" s="22" customFormat="1" ht="11.5" x14ac:dyDescent="0.25">
      <c r="A174" s="414" t="s">
        <v>281</v>
      </c>
      <c r="B174" s="493">
        <f>C123</f>
        <v>23</v>
      </c>
      <c r="C174" s="682">
        <f>C124</f>
        <v>1.9947961838681701E-2</v>
      </c>
      <c r="D174" s="493">
        <f>34+32</f>
        <v>66</v>
      </c>
      <c r="E174" s="686">
        <v>5.8299999999999998E-2</v>
      </c>
      <c r="F174" s="493">
        <f>7+3</f>
        <v>10</v>
      </c>
      <c r="G174" s="679">
        <v>9.2999999999999992E-3</v>
      </c>
    </row>
    <row r="175" spans="1:8" s="22" customFormat="1" ht="11.5" x14ac:dyDescent="0.25">
      <c r="A175" s="414" t="s">
        <v>282</v>
      </c>
      <c r="B175" s="493">
        <f>C119</f>
        <v>104</v>
      </c>
      <c r="C175" s="682">
        <f>C120</f>
        <v>9.0199479618386813E-2</v>
      </c>
      <c r="D175" s="684">
        <f>5+3</f>
        <v>8</v>
      </c>
      <c r="E175" s="686">
        <v>7.1000000000000004E-3</v>
      </c>
      <c r="F175" s="493">
        <f>16+8</f>
        <v>24</v>
      </c>
      <c r="G175" s="679">
        <v>2.2599999999999999E-2</v>
      </c>
    </row>
    <row r="176" spans="1:8" s="72" customFormat="1" ht="11.5" x14ac:dyDescent="0.25">
      <c r="A176" s="308" t="s">
        <v>292</v>
      </c>
      <c r="B176" s="309"/>
      <c r="C176" s="311"/>
      <c r="D176" s="309"/>
      <c r="E176" s="309"/>
      <c r="F176" s="309"/>
      <c r="G176" s="310"/>
    </row>
    <row r="177" spans="1:14" s="22" customFormat="1" ht="11.5" x14ac:dyDescent="0.25">
      <c r="A177" s="414" t="s">
        <v>833</v>
      </c>
      <c r="B177" s="493">
        <f>C128</f>
        <v>85</v>
      </c>
      <c r="C177" s="682">
        <f>C129</f>
        <v>7.3720728534258456E-2</v>
      </c>
      <c r="D177" s="493">
        <f>21+20</f>
        <v>41</v>
      </c>
      <c r="E177" s="686">
        <f>D177/1132</f>
        <v>3.6219081272084806E-2</v>
      </c>
      <c r="F177" s="493" t="s">
        <v>293</v>
      </c>
      <c r="G177" s="681" t="s">
        <v>293</v>
      </c>
    </row>
    <row r="178" spans="1:14" s="22" customFormat="1" ht="11.5" x14ac:dyDescent="0.25">
      <c r="A178" s="414" t="s">
        <v>1224</v>
      </c>
      <c r="B178" s="493">
        <f>C132</f>
        <v>33</v>
      </c>
      <c r="C178" s="682">
        <f>C133</f>
        <v>2.8620988725065046E-2</v>
      </c>
      <c r="D178" s="493">
        <f>11+11</f>
        <v>22</v>
      </c>
      <c r="E178" s="686">
        <f t="shared" ref="E178:E179" si="18">D178/1132</f>
        <v>1.9434628975265017E-2</v>
      </c>
      <c r="F178" s="493" t="s">
        <v>293</v>
      </c>
      <c r="G178" s="681" t="s">
        <v>293</v>
      </c>
    </row>
    <row r="179" spans="1:14" s="22" customFormat="1" ht="11.5" x14ac:dyDescent="0.25">
      <c r="A179" s="414" t="s">
        <v>283</v>
      </c>
      <c r="B179" s="680">
        <f>C140</f>
        <v>9</v>
      </c>
      <c r="C179" s="677">
        <f>C141</f>
        <v>7.8057241977450131E-3</v>
      </c>
      <c r="D179" s="493">
        <f>7+4</f>
        <v>11</v>
      </c>
      <c r="E179" s="686">
        <f t="shared" si="18"/>
        <v>9.7173144876325085E-3</v>
      </c>
      <c r="F179" s="493" t="s">
        <v>293</v>
      </c>
      <c r="G179" s="681" t="s">
        <v>293</v>
      </c>
    </row>
    <row r="180" spans="1:14" s="22" customFormat="1" ht="51" customHeight="1" x14ac:dyDescent="0.25">
      <c r="A180" s="966" t="s">
        <v>1300</v>
      </c>
      <c r="B180" s="967"/>
      <c r="C180" s="967"/>
      <c r="D180" s="967"/>
      <c r="E180" s="967"/>
    </row>
    <row r="181" spans="1:14" s="72" customFormat="1" ht="11.5" x14ac:dyDescent="0.25">
      <c r="A181" s="42"/>
      <c r="B181" s="53"/>
      <c r="C181" s="57"/>
      <c r="D181" s="57"/>
      <c r="E181" s="57"/>
      <c r="F181" s="57"/>
    </row>
    <row r="182" spans="1:14" s="62" customFormat="1" ht="30" customHeight="1" thickBot="1" x14ac:dyDescent="0.45">
      <c r="A182" s="935" t="s">
        <v>69</v>
      </c>
      <c r="B182" s="935"/>
      <c r="C182" s="935"/>
      <c r="D182" s="935"/>
      <c r="E182" s="935"/>
      <c r="F182" s="935"/>
      <c r="G182" s="935"/>
      <c r="H182" s="935"/>
      <c r="I182" s="935"/>
      <c r="J182" s="935"/>
      <c r="K182" s="935"/>
      <c r="L182" s="935"/>
      <c r="M182" s="15"/>
      <c r="N182" s="98"/>
    </row>
    <row r="183" spans="1:14" x14ac:dyDescent="0.3">
      <c r="A183" s="17" t="s">
        <v>296</v>
      </c>
    </row>
    <row r="185" spans="1:14" s="22" customFormat="1" ht="11.5" x14ac:dyDescent="0.25">
      <c r="A185" s="23"/>
      <c r="B185" s="954" t="s">
        <v>471</v>
      </c>
      <c r="C185" s="955"/>
      <c r="D185" s="956"/>
      <c r="E185" s="957" t="s">
        <v>545</v>
      </c>
      <c r="F185" s="958"/>
      <c r="G185" s="959"/>
      <c r="H185" s="957" t="s">
        <v>546</v>
      </c>
      <c r="I185" s="958"/>
      <c r="J185" s="959"/>
      <c r="K185" s="35"/>
    </row>
    <row r="186" spans="1:14" s="58" customFormat="1" ht="23" x14ac:dyDescent="0.25">
      <c r="A186" s="151" t="s">
        <v>667</v>
      </c>
      <c r="B186" s="151" t="s">
        <v>668</v>
      </c>
      <c r="C186" s="152" t="s">
        <v>538</v>
      </c>
      <c r="D186" s="153" t="s">
        <v>669</v>
      </c>
      <c r="E186" s="151" t="s">
        <v>670</v>
      </c>
      <c r="F186" s="152" t="s">
        <v>671</v>
      </c>
      <c r="G186" s="153" t="s">
        <v>672</v>
      </c>
      <c r="H186" s="151" t="s">
        <v>673</v>
      </c>
      <c r="I186" s="152" t="s">
        <v>674</v>
      </c>
      <c r="J186" s="153" t="s">
        <v>675</v>
      </c>
    </row>
    <row r="187" spans="1:14" s="72" customFormat="1" ht="11.5" x14ac:dyDescent="0.25">
      <c r="A187" s="154" t="s">
        <v>676</v>
      </c>
      <c r="B187" s="307">
        <f>D187/C187</f>
        <v>9.8809135399673735</v>
      </c>
      <c r="C187" s="305">
        <f>SUM(C188:C189)</f>
        <v>1226</v>
      </c>
      <c r="D187" s="306">
        <f t="shared" ref="D187:J187" si="19">SUM(D188:D189)</f>
        <v>12114</v>
      </c>
      <c r="E187" s="307">
        <f>G187/F187</f>
        <v>9.9930855661192748</v>
      </c>
      <c r="F187" s="305">
        <f t="shared" si="19"/>
        <v>1157</v>
      </c>
      <c r="G187" s="306">
        <f t="shared" si="19"/>
        <v>11562</v>
      </c>
      <c r="H187" s="307">
        <f>J187/I187</f>
        <v>8</v>
      </c>
      <c r="I187" s="305">
        <f t="shared" si="19"/>
        <v>69</v>
      </c>
      <c r="J187" s="306">
        <f t="shared" si="19"/>
        <v>552</v>
      </c>
    </row>
    <row r="188" spans="1:14" s="22" customFormat="1" ht="11.5" x14ac:dyDescent="0.25">
      <c r="A188" s="367" t="s">
        <v>677</v>
      </c>
      <c r="B188" s="690">
        <f>D188/C188</f>
        <v>9.1992263056092849</v>
      </c>
      <c r="C188" s="691">
        <f>SUM(F188+I188)</f>
        <v>1034</v>
      </c>
      <c r="D188" s="692">
        <f>SUM(G188+J188)</f>
        <v>9512</v>
      </c>
      <c r="E188" s="693">
        <f>G188/F188</f>
        <v>9.2601626016260159</v>
      </c>
      <c r="F188" s="694">
        <v>984</v>
      </c>
      <c r="G188" s="695">
        <v>9112</v>
      </c>
      <c r="H188" s="693">
        <f>J188/I188</f>
        <v>8</v>
      </c>
      <c r="I188" s="694">
        <v>50</v>
      </c>
      <c r="J188" s="696">
        <v>400</v>
      </c>
    </row>
    <row r="189" spans="1:14" s="22" customFormat="1" ht="11.5" x14ac:dyDescent="0.25">
      <c r="A189" s="367" t="s">
        <v>275</v>
      </c>
      <c r="B189" s="690">
        <f>D189/C189</f>
        <v>13.552083333333334</v>
      </c>
      <c r="C189" s="691">
        <f>SUM(F189+I189)</f>
        <v>192</v>
      </c>
      <c r="D189" s="692">
        <f>SUM(G189+J189)</f>
        <v>2602</v>
      </c>
      <c r="E189" s="693">
        <f>G189/F189</f>
        <v>14.16184971098266</v>
      </c>
      <c r="F189" s="694">
        <v>173</v>
      </c>
      <c r="G189" s="695">
        <v>2450</v>
      </c>
      <c r="H189" s="693">
        <f>J189/I189</f>
        <v>8</v>
      </c>
      <c r="I189" s="694">
        <v>19</v>
      </c>
      <c r="J189" s="696">
        <v>152</v>
      </c>
    </row>
    <row r="191" spans="1:14" s="60" customFormat="1" ht="11.5" x14ac:dyDescent="0.25">
      <c r="A191" s="142" t="s">
        <v>678</v>
      </c>
      <c r="B191" s="272" t="s">
        <v>570</v>
      </c>
      <c r="C191" s="142" t="s">
        <v>569</v>
      </c>
      <c r="F191" s="104"/>
    </row>
    <row r="192" spans="1:14" s="22" customFormat="1" ht="11.5" x14ac:dyDescent="0.25">
      <c r="A192" s="358" t="s">
        <v>276</v>
      </c>
      <c r="B192" s="383">
        <f>B188</f>
        <v>9.1992263056092849</v>
      </c>
      <c r="C192" s="594">
        <v>4</v>
      </c>
    </row>
    <row r="193" spans="1:14" s="22" customFormat="1" ht="11.5" x14ac:dyDescent="0.25">
      <c r="A193" s="363" t="s">
        <v>275</v>
      </c>
      <c r="B193" s="697">
        <f>B189</f>
        <v>13.552083333333334</v>
      </c>
      <c r="C193" s="619">
        <v>6</v>
      </c>
    </row>
    <row r="194" spans="1:14" s="52" customFormat="1" x14ac:dyDescent="0.3">
      <c r="A194" s="51"/>
      <c r="B194" s="51"/>
      <c r="C194" s="51"/>
      <c r="D194" s="105"/>
      <c r="E194" s="105"/>
      <c r="F194" s="47"/>
      <c r="G194" s="47"/>
      <c r="H194" s="47"/>
    </row>
    <row r="195" spans="1:14" s="62" customFormat="1" ht="30" customHeight="1" thickBot="1" x14ac:dyDescent="0.45">
      <c r="A195" s="935" t="s">
        <v>71</v>
      </c>
      <c r="B195" s="935"/>
      <c r="C195" s="935"/>
      <c r="D195" s="935"/>
      <c r="E195" s="935"/>
      <c r="F195" s="935"/>
      <c r="G195" s="935"/>
      <c r="H195" s="935"/>
      <c r="I195" s="935"/>
      <c r="J195" s="935"/>
      <c r="K195" s="935"/>
      <c r="L195" s="935"/>
      <c r="M195" s="15"/>
      <c r="N195" s="98"/>
    </row>
    <row r="196" spans="1:14" x14ac:dyDescent="0.3">
      <c r="A196" s="17" t="s">
        <v>297</v>
      </c>
    </row>
    <row r="198" spans="1:14" s="22" customFormat="1" ht="11.5" x14ac:dyDescent="0.25">
      <c r="H198" s="960">
        <v>2022</v>
      </c>
      <c r="I198" s="961"/>
      <c r="J198" s="960">
        <v>2021</v>
      </c>
      <c r="K198" s="961"/>
      <c r="L198" s="960">
        <v>2020</v>
      </c>
      <c r="M198" s="961"/>
    </row>
    <row r="199" spans="1:14" s="60" customFormat="1" ht="23" x14ac:dyDescent="0.25">
      <c r="A199" s="273" t="s">
        <v>1151</v>
      </c>
      <c r="B199" s="279" t="s">
        <v>679</v>
      </c>
      <c r="C199" s="279" t="s">
        <v>680</v>
      </c>
      <c r="D199" s="279" t="s">
        <v>955</v>
      </c>
      <c r="E199" s="278" t="s">
        <v>956</v>
      </c>
      <c r="F199" s="106"/>
      <c r="G199" s="273" t="s">
        <v>682</v>
      </c>
      <c r="H199" s="280" t="s">
        <v>683</v>
      </c>
      <c r="I199" s="278" t="s">
        <v>684</v>
      </c>
      <c r="J199" s="280" t="s">
        <v>683</v>
      </c>
      <c r="K199" s="278" t="s">
        <v>684</v>
      </c>
      <c r="L199" s="280" t="s">
        <v>683</v>
      </c>
      <c r="M199" s="278" t="s">
        <v>684</v>
      </c>
    </row>
    <row r="200" spans="1:14" s="60" customFormat="1" ht="11.5" x14ac:dyDescent="0.25">
      <c r="A200" s="269" t="s">
        <v>471</v>
      </c>
      <c r="B200" s="293"/>
      <c r="C200" s="293"/>
      <c r="D200" s="294">
        <f t="shared" ref="D200" si="20">SUM(D201:D205)</f>
        <v>1241</v>
      </c>
      <c r="E200" s="295"/>
      <c r="F200" s="107"/>
      <c r="G200" s="269" t="s">
        <v>471</v>
      </c>
      <c r="H200" s="269"/>
      <c r="I200" s="290"/>
      <c r="J200" s="269"/>
      <c r="K200" s="290"/>
      <c r="L200" s="269"/>
      <c r="M200" s="290"/>
    </row>
    <row r="201" spans="1:14" s="22" customFormat="1" ht="11.5" x14ac:dyDescent="0.25">
      <c r="A201" s="353" t="s">
        <v>298</v>
      </c>
      <c r="B201" s="493">
        <f>SUM(B207+B213+B219)</f>
        <v>10</v>
      </c>
      <c r="C201" s="493">
        <f>SUM(C207+C213+C219)</f>
        <v>0</v>
      </c>
      <c r="D201" s="698">
        <f>SUM(D207+D213+D219)</f>
        <v>10</v>
      </c>
      <c r="E201" s="699">
        <f>D201/1241</f>
        <v>8.0580177276390001E-3</v>
      </c>
      <c r="F201" s="700"/>
      <c r="G201" s="353" t="s">
        <v>298</v>
      </c>
      <c r="H201" s="701">
        <f>B201/D201</f>
        <v>1</v>
      </c>
      <c r="I201" s="683">
        <f>C201/D201</f>
        <v>0</v>
      </c>
      <c r="J201" s="701">
        <v>1</v>
      </c>
      <c r="K201" s="683">
        <v>0</v>
      </c>
      <c r="L201" s="701">
        <f>L207</f>
        <v>1</v>
      </c>
      <c r="M201" s="683">
        <f>M207</f>
        <v>0</v>
      </c>
    </row>
    <row r="202" spans="1:14" s="22" customFormat="1" ht="11.5" x14ac:dyDescent="0.25">
      <c r="A202" s="353" t="s">
        <v>299</v>
      </c>
      <c r="B202" s="493">
        <f t="shared" ref="B202:C205" si="21">SUM(B208+B214+B220)</f>
        <v>13</v>
      </c>
      <c r="C202" s="493">
        <f t="shared" si="21"/>
        <v>0</v>
      </c>
      <c r="D202" s="698">
        <f t="shared" ref="D202:D205" si="22">SUM(D208+D214+D220)</f>
        <v>13</v>
      </c>
      <c r="E202" s="699">
        <f t="shared" ref="E202:E205" si="23">D202/1241</f>
        <v>1.0475423045930701E-2</v>
      </c>
      <c r="F202" s="700"/>
      <c r="G202" s="353" t="s">
        <v>299</v>
      </c>
      <c r="H202" s="701">
        <f t="shared" ref="H202:H205" si="24">B202/D202</f>
        <v>1</v>
      </c>
      <c r="I202" s="683">
        <f t="shared" ref="I202:I223" si="25">C202/D202</f>
        <v>0</v>
      </c>
      <c r="J202" s="701">
        <v>1</v>
      </c>
      <c r="K202" s="683">
        <v>0</v>
      </c>
      <c r="L202" s="701">
        <f t="shared" ref="L202:M205" si="26">L208</f>
        <v>1</v>
      </c>
      <c r="M202" s="683">
        <f t="shared" si="26"/>
        <v>0</v>
      </c>
    </row>
    <row r="203" spans="1:14" s="22" customFormat="1" ht="11.5" x14ac:dyDescent="0.25">
      <c r="A203" s="353" t="s">
        <v>300</v>
      </c>
      <c r="B203" s="493">
        <f t="shared" si="21"/>
        <v>31</v>
      </c>
      <c r="C203" s="493">
        <f t="shared" si="21"/>
        <v>13</v>
      </c>
      <c r="D203" s="698">
        <f t="shared" si="22"/>
        <v>44</v>
      </c>
      <c r="E203" s="699">
        <f t="shared" si="23"/>
        <v>3.5455278001611606E-2</v>
      </c>
      <c r="F203" s="700"/>
      <c r="G203" s="353" t="s">
        <v>300</v>
      </c>
      <c r="H203" s="701">
        <f t="shared" si="24"/>
        <v>0.70454545454545459</v>
      </c>
      <c r="I203" s="683">
        <f t="shared" si="25"/>
        <v>0.29545454545454547</v>
      </c>
      <c r="J203" s="701">
        <v>0.7142857142857143</v>
      </c>
      <c r="K203" s="683">
        <v>0.2857142857142857</v>
      </c>
      <c r="L203" s="701">
        <f t="shared" si="26"/>
        <v>0.75</v>
      </c>
      <c r="M203" s="683">
        <f t="shared" si="26"/>
        <v>0.25</v>
      </c>
    </row>
    <row r="204" spans="1:14" s="22" customFormat="1" ht="11.5" x14ac:dyDescent="0.25">
      <c r="A204" s="353" t="s">
        <v>301</v>
      </c>
      <c r="B204" s="493">
        <f t="shared" si="21"/>
        <v>111</v>
      </c>
      <c r="C204" s="493">
        <f t="shared" si="21"/>
        <v>16</v>
      </c>
      <c r="D204" s="698">
        <f t="shared" si="22"/>
        <v>127</v>
      </c>
      <c r="E204" s="699">
        <f t="shared" si="23"/>
        <v>0.10233682514101532</v>
      </c>
      <c r="F204" s="700"/>
      <c r="G204" s="353" t="s">
        <v>301</v>
      </c>
      <c r="H204" s="701">
        <f t="shared" si="24"/>
        <v>0.87401574803149606</v>
      </c>
      <c r="I204" s="683">
        <f t="shared" si="25"/>
        <v>0.12598425196850394</v>
      </c>
      <c r="J204" s="701">
        <v>0.90909090909090906</v>
      </c>
      <c r="K204" s="683">
        <v>9.0909090909090912E-2</v>
      </c>
      <c r="L204" s="701">
        <f t="shared" si="26"/>
        <v>0.91</v>
      </c>
      <c r="M204" s="683">
        <f t="shared" si="26"/>
        <v>0.09</v>
      </c>
    </row>
    <row r="205" spans="1:14" s="22" customFormat="1" ht="11.5" x14ac:dyDescent="0.25">
      <c r="A205" s="353" t="s">
        <v>302</v>
      </c>
      <c r="B205" s="493">
        <f t="shared" si="21"/>
        <v>880</v>
      </c>
      <c r="C205" s="493">
        <f t="shared" si="21"/>
        <v>167</v>
      </c>
      <c r="D205" s="698">
        <f t="shared" si="22"/>
        <v>1047</v>
      </c>
      <c r="E205" s="699">
        <f t="shared" si="23"/>
        <v>0.84367445608380343</v>
      </c>
      <c r="F205" s="700"/>
      <c r="G205" s="353" t="s">
        <v>302</v>
      </c>
      <c r="H205" s="701">
        <f t="shared" si="24"/>
        <v>0.84049665711556831</v>
      </c>
      <c r="I205" s="683">
        <f t="shared" si="25"/>
        <v>0.15950334288443171</v>
      </c>
      <c r="J205" s="701">
        <v>0.84341978866474543</v>
      </c>
      <c r="K205" s="683">
        <v>0.15658021133525457</v>
      </c>
      <c r="L205" s="701">
        <f t="shared" si="26"/>
        <v>0.85</v>
      </c>
      <c r="M205" s="683">
        <f t="shared" si="26"/>
        <v>0.15</v>
      </c>
    </row>
    <row r="206" spans="1:14" s="60" customFormat="1" ht="11.5" x14ac:dyDescent="0.25">
      <c r="A206" s="269" t="s">
        <v>545</v>
      </c>
      <c r="B206" s="293"/>
      <c r="C206" s="293"/>
      <c r="D206" s="294"/>
      <c r="E206" s="295"/>
      <c r="F206" s="99"/>
      <c r="G206" s="269" t="s">
        <v>545</v>
      </c>
      <c r="H206" s="269"/>
      <c r="I206" s="290"/>
      <c r="J206" s="291"/>
      <c r="K206" s="292"/>
      <c r="L206" s="291"/>
      <c r="M206" s="292"/>
    </row>
    <row r="207" spans="1:14" s="22" customFormat="1" ht="11.5" x14ac:dyDescent="0.25">
      <c r="A207" s="353" t="s">
        <v>298</v>
      </c>
      <c r="B207" s="493">
        <v>3</v>
      </c>
      <c r="C207" s="493">
        <v>0</v>
      </c>
      <c r="D207" s="698">
        <f>SUM(B207+C207)</f>
        <v>3</v>
      </c>
      <c r="E207" s="699">
        <f>D207/1157</f>
        <v>2.5929127052722557E-3</v>
      </c>
      <c r="F207" s="700"/>
      <c r="G207" s="353" t="s">
        <v>298</v>
      </c>
      <c r="H207" s="701">
        <f>B207/D207</f>
        <v>1</v>
      </c>
      <c r="I207" s="683">
        <f t="shared" si="25"/>
        <v>0</v>
      </c>
      <c r="J207" s="701">
        <v>1</v>
      </c>
      <c r="K207" s="683">
        <v>0</v>
      </c>
      <c r="L207" s="702">
        <v>1</v>
      </c>
      <c r="M207" s="683">
        <v>0</v>
      </c>
    </row>
    <row r="208" spans="1:14" s="22" customFormat="1" ht="11.5" x14ac:dyDescent="0.25">
      <c r="A208" s="353" t="s">
        <v>299</v>
      </c>
      <c r="B208" s="493">
        <v>12</v>
      </c>
      <c r="C208" s="493">
        <v>0</v>
      </c>
      <c r="D208" s="698">
        <f t="shared" ref="D208:D211" si="27">SUM(B208+C208)</f>
        <v>12</v>
      </c>
      <c r="E208" s="699">
        <f t="shared" ref="E208:E211" si="28">D208/1157</f>
        <v>1.0371650821089023E-2</v>
      </c>
      <c r="F208" s="700"/>
      <c r="G208" s="353" t="s">
        <v>299</v>
      </c>
      <c r="H208" s="701">
        <f t="shared" ref="H208:H211" si="29">B208/D208</f>
        <v>1</v>
      </c>
      <c r="I208" s="683">
        <f t="shared" si="25"/>
        <v>0</v>
      </c>
      <c r="J208" s="701">
        <v>1</v>
      </c>
      <c r="K208" s="683">
        <v>0</v>
      </c>
      <c r="L208" s="702">
        <v>1</v>
      </c>
      <c r="M208" s="683">
        <v>0</v>
      </c>
    </row>
    <row r="209" spans="1:13" s="22" customFormat="1" ht="11.5" x14ac:dyDescent="0.25">
      <c r="A209" s="353" t="s">
        <v>300</v>
      </c>
      <c r="B209" s="493">
        <v>24</v>
      </c>
      <c r="C209" s="493">
        <v>7</v>
      </c>
      <c r="D209" s="698">
        <f t="shared" si="27"/>
        <v>31</v>
      </c>
      <c r="E209" s="699">
        <f t="shared" si="28"/>
        <v>2.6793431287813311E-2</v>
      </c>
      <c r="F209" s="700"/>
      <c r="G209" s="353" t="s">
        <v>300</v>
      </c>
      <c r="H209" s="701">
        <f t="shared" si="29"/>
        <v>0.77419354838709675</v>
      </c>
      <c r="I209" s="683">
        <f t="shared" si="25"/>
        <v>0.22580645161290322</v>
      </c>
      <c r="J209" s="701">
        <v>0.7142857142857143</v>
      </c>
      <c r="K209" s="683">
        <v>0.2857142857142857</v>
      </c>
      <c r="L209" s="702">
        <v>0.75</v>
      </c>
      <c r="M209" s="683">
        <v>0.25</v>
      </c>
    </row>
    <row r="210" spans="1:13" s="22" customFormat="1" ht="13.5" customHeight="1" x14ac:dyDescent="0.25">
      <c r="A210" s="353" t="s">
        <v>301</v>
      </c>
      <c r="B210" s="493">
        <v>102</v>
      </c>
      <c r="C210" s="493">
        <v>14</v>
      </c>
      <c r="D210" s="698">
        <f t="shared" si="27"/>
        <v>116</v>
      </c>
      <c r="E210" s="699">
        <f t="shared" si="28"/>
        <v>0.10025929127052723</v>
      </c>
      <c r="F210" s="700"/>
      <c r="G210" s="353" t="s">
        <v>301</v>
      </c>
      <c r="H210" s="701">
        <f t="shared" si="29"/>
        <v>0.87931034482758619</v>
      </c>
      <c r="I210" s="683">
        <f t="shared" si="25"/>
        <v>0.1206896551724138</v>
      </c>
      <c r="J210" s="701">
        <v>0.90909090909090906</v>
      </c>
      <c r="K210" s="683">
        <v>9.0909090909090912E-2</v>
      </c>
      <c r="L210" s="702">
        <v>0.91</v>
      </c>
      <c r="M210" s="683">
        <v>0.09</v>
      </c>
    </row>
    <row r="211" spans="1:13" s="22" customFormat="1" ht="11.5" x14ac:dyDescent="0.25">
      <c r="A211" s="353" t="s">
        <v>302</v>
      </c>
      <c r="B211" s="493">
        <v>843</v>
      </c>
      <c r="C211" s="493">
        <v>152</v>
      </c>
      <c r="D211" s="698">
        <f t="shared" si="27"/>
        <v>995</v>
      </c>
      <c r="E211" s="699">
        <f t="shared" si="28"/>
        <v>0.85998271391529824</v>
      </c>
      <c r="F211" s="700"/>
      <c r="G211" s="353" t="s">
        <v>302</v>
      </c>
      <c r="H211" s="701">
        <f t="shared" si="29"/>
        <v>0.84723618090452257</v>
      </c>
      <c r="I211" s="683">
        <f t="shared" si="25"/>
        <v>0.1527638190954774</v>
      </c>
      <c r="J211" s="701">
        <v>0.84341978866474543</v>
      </c>
      <c r="K211" s="683">
        <v>0.15658021133525457</v>
      </c>
      <c r="L211" s="702">
        <v>0.85</v>
      </c>
      <c r="M211" s="683">
        <v>0.15</v>
      </c>
    </row>
    <row r="212" spans="1:13" s="60" customFormat="1" ht="11.5" x14ac:dyDescent="0.25">
      <c r="A212" s="269" t="s">
        <v>546</v>
      </c>
      <c r="B212" s="293"/>
      <c r="C212" s="293"/>
      <c r="D212" s="294"/>
      <c r="E212" s="295"/>
      <c r="F212" s="99"/>
      <c r="G212" s="269" t="s">
        <v>546</v>
      </c>
      <c r="H212" s="269"/>
      <c r="I212" s="290"/>
      <c r="J212" s="291"/>
      <c r="K212" s="292"/>
      <c r="L212" s="291"/>
      <c r="M212" s="292"/>
    </row>
    <row r="213" spans="1:13" s="22" customFormat="1" ht="11.5" x14ac:dyDescent="0.25">
      <c r="A213" s="353" t="s">
        <v>298</v>
      </c>
      <c r="B213" s="493">
        <v>2</v>
      </c>
      <c r="C213" s="493">
        <v>0</v>
      </c>
      <c r="D213" s="698">
        <f>SUM(B213+C213)</f>
        <v>2</v>
      </c>
      <c r="E213" s="699">
        <f>D213/69</f>
        <v>2.8985507246376812E-2</v>
      </c>
      <c r="F213" s="700"/>
      <c r="G213" s="353" t="s">
        <v>298</v>
      </c>
      <c r="H213" s="701">
        <f>B213/D213</f>
        <v>1</v>
      </c>
      <c r="I213" s="683">
        <f t="shared" si="25"/>
        <v>0</v>
      </c>
      <c r="J213" s="701" t="s">
        <v>11</v>
      </c>
      <c r="K213" s="683" t="s">
        <v>11</v>
      </c>
      <c r="L213" s="701" t="s">
        <v>11</v>
      </c>
      <c r="M213" s="683" t="s">
        <v>11</v>
      </c>
    </row>
    <row r="214" spans="1:13" s="22" customFormat="1" ht="11.5" x14ac:dyDescent="0.25">
      <c r="A214" s="353" t="s">
        <v>299</v>
      </c>
      <c r="B214" s="493">
        <v>1</v>
      </c>
      <c r="C214" s="493">
        <v>0</v>
      </c>
      <c r="D214" s="698">
        <f t="shared" ref="D214:D217" si="30">SUM(B214+C214)</f>
        <v>1</v>
      </c>
      <c r="E214" s="699">
        <f t="shared" ref="E214:E217" si="31">D214/69</f>
        <v>1.4492753623188406E-2</v>
      </c>
      <c r="F214" s="700"/>
      <c r="G214" s="353" t="s">
        <v>299</v>
      </c>
      <c r="H214" s="701">
        <f t="shared" ref="H214:H217" si="32">B214/D214</f>
        <v>1</v>
      </c>
      <c r="I214" s="683">
        <f t="shared" si="25"/>
        <v>0</v>
      </c>
      <c r="J214" s="701" t="s">
        <v>11</v>
      </c>
      <c r="K214" s="683" t="s">
        <v>11</v>
      </c>
      <c r="L214" s="701" t="s">
        <v>11</v>
      </c>
      <c r="M214" s="683" t="s">
        <v>11</v>
      </c>
    </row>
    <row r="215" spans="1:13" s="22" customFormat="1" ht="11.5" x14ac:dyDescent="0.25">
      <c r="A215" s="353" t="s">
        <v>300</v>
      </c>
      <c r="B215" s="493">
        <v>4</v>
      </c>
      <c r="C215" s="493">
        <v>2</v>
      </c>
      <c r="D215" s="698">
        <f t="shared" si="30"/>
        <v>6</v>
      </c>
      <c r="E215" s="699">
        <f t="shared" si="31"/>
        <v>8.6956521739130432E-2</v>
      </c>
      <c r="F215" s="700"/>
      <c r="G215" s="353" t="s">
        <v>300</v>
      </c>
      <c r="H215" s="701">
        <f t="shared" si="32"/>
        <v>0.66666666666666663</v>
      </c>
      <c r="I215" s="683">
        <f t="shared" si="25"/>
        <v>0.33333333333333331</v>
      </c>
      <c r="J215" s="701" t="s">
        <v>11</v>
      </c>
      <c r="K215" s="683" t="s">
        <v>11</v>
      </c>
      <c r="L215" s="701" t="s">
        <v>11</v>
      </c>
      <c r="M215" s="683" t="s">
        <v>11</v>
      </c>
    </row>
    <row r="216" spans="1:13" s="22" customFormat="1" ht="14.25" customHeight="1" x14ac:dyDescent="0.25">
      <c r="A216" s="353" t="s">
        <v>301</v>
      </c>
      <c r="B216" s="493">
        <v>9</v>
      </c>
      <c r="C216" s="493">
        <v>2</v>
      </c>
      <c r="D216" s="698">
        <f t="shared" si="30"/>
        <v>11</v>
      </c>
      <c r="E216" s="699">
        <f t="shared" si="31"/>
        <v>0.15942028985507245</v>
      </c>
      <c r="F216" s="700"/>
      <c r="G216" s="353" t="s">
        <v>301</v>
      </c>
      <c r="H216" s="701">
        <f t="shared" si="32"/>
        <v>0.81818181818181823</v>
      </c>
      <c r="I216" s="683">
        <f t="shared" si="25"/>
        <v>0.18181818181818182</v>
      </c>
      <c r="J216" s="701" t="s">
        <v>11</v>
      </c>
      <c r="K216" s="683" t="s">
        <v>11</v>
      </c>
      <c r="L216" s="701" t="s">
        <v>11</v>
      </c>
      <c r="M216" s="683" t="s">
        <v>11</v>
      </c>
    </row>
    <row r="217" spans="1:13" s="22" customFormat="1" ht="11.5" x14ac:dyDescent="0.25">
      <c r="A217" s="353" t="s">
        <v>302</v>
      </c>
      <c r="B217" s="493">
        <v>37</v>
      </c>
      <c r="C217" s="493">
        <v>12</v>
      </c>
      <c r="D217" s="698">
        <f t="shared" si="30"/>
        <v>49</v>
      </c>
      <c r="E217" s="699">
        <f t="shared" si="31"/>
        <v>0.71014492753623193</v>
      </c>
      <c r="F217" s="700"/>
      <c r="G217" s="353" t="s">
        <v>302</v>
      </c>
      <c r="H217" s="701">
        <f t="shared" si="32"/>
        <v>0.75510204081632648</v>
      </c>
      <c r="I217" s="683">
        <f t="shared" si="25"/>
        <v>0.24489795918367346</v>
      </c>
      <c r="J217" s="701" t="s">
        <v>11</v>
      </c>
      <c r="K217" s="683" t="s">
        <v>11</v>
      </c>
      <c r="L217" s="701" t="s">
        <v>11</v>
      </c>
      <c r="M217" s="683" t="s">
        <v>11</v>
      </c>
    </row>
    <row r="218" spans="1:13" s="60" customFormat="1" ht="11.5" x14ac:dyDescent="0.25">
      <c r="A218" s="269" t="s">
        <v>681</v>
      </c>
      <c r="B218" s="293"/>
      <c r="C218" s="293"/>
      <c r="D218" s="294"/>
      <c r="E218" s="295"/>
      <c r="F218" s="99"/>
      <c r="G218" s="269" t="s">
        <v>681</v>
      </c>
      <c r="H218" s="269"/>
      <c r="I218" s="290"/>
      <c r="J218" s="291"/>
      <c r="K218" s="292"/>
      <c r="L218" s="291"/>
      <c r="M218" s="292"/>
    </row>
    <row r="219" spans="1:13" s="22" customFormat="1" ht="11.5" x14ac:dyDescent="0.25">
      <c r="A219" s="353" t="s">
        <v>298</v>
      </c>
      <c r="B219" s="493">
        <v>5</v>
      </c>
      <c r="C219" s="493">
        <v>0</v>
      </c>
      <c r="D219" s="698">
        <f>SUM(B219+C219)</f>
        <v>5</v>
      </c>
      <c r="E219" s="699">
        <f>D219/15</f>
        <v>0.33333333333333331</v>
      </c>
      <c r="F219" s="700"/>
      <c r="G219" s="353" t="s">
        <v>298</v>
      </c>
      <c r="H219" s="701">
        <f>B219/D219</f>
        <v>1</v>
      </c>
      <c r="I219" s="683">
        <f t="shared" si="25"/>
        <v>0</v>
      </c>
      <c r="J219" s="701" t="s">
        <v>11</v>
      </c>
      <c r="K219" s="683" t="s">
        <v>11</v>
      </c>
      <c r="L219" s="701" t="s">
        <v>11</v>
      </c>
      <c r="M219" s="683" t="s">
        <v>11</v>
      </c>
    </row>
    <row r="220" spans="1:13" s="22" customFormat="1" ht="11.5" x14ac:dyDescent="0.25">
      <c r="A220" s="353" t="s">
        <v>299</v>
      </c>
      <c r="B220" s="493">
        <v>0</v>
      </c>
      <c r="C220" s="493">
        <v>0</v>
      </c>
      <c r="D220" s="698">
        <f t="shared" ref="D220:D223" si="33">SUM(B220+C220)</f>
        <v>0</v>
      </c>
      <c r="E220" s="699">
        <f t="shared" ref="E220:E223" si="34">D220/15</f>
        <v>0</v>
      </c>
      <c r="F220" s="700"/>
      <c r="G220" s="353" t="s">
        <v>299</v>
      </c>
      <c r="H220" s="701">
        <v>0</v>
      </c>
      <c r="I220" s="683">
        <v>0</v>
      </c>
      <c r="J220" s="701" t="s">
        <v>11</v>
      </c>
      <c r="K220" s="683" t="s">
        <v>11</v>
      </c>
      <c r="L220" s="701" t="s">
        <v>11</v>
      </c>
      <c r="M220" s="683" t="s">
        <v>11</v>
      </c>
    </row>
    <row r="221" spans="1:13" s="22" customFormat="1" ht="11.5" x14ac:dyDescent="0.25">
      <c r="A221" s="353" t="s">
        <v>300</v>
      </c>
      <c r="B221" s="493">
        <v>3</v>
      </c>
      <c r="C221" s="493">
        <v>4</v>
      </c>
      <c r="D221" s="698">
        <f t="shared" si="33"/>
        <v>7</v>
      </c>
      <c r="E221" s="699">
        <f>D221/15</f>
        <v>0.46666666666666667</v>
      </c>
      <c r="F221" s="700"/>
      <c r="G221" s="353" t="s">
        <v>300</v>
      </c>
      <c r="H221" s="701">
        <f t="shared" ref="H221:H223" si="35">B221/D221</f>
        <v>0.42857142857142855</v>
      </c>
      <c r="I221" s="683">
        <f t="shared" si="25"/>
        <v>0.5714285714285714</v>
      </c>
      <c r="J221" s="701" t="s">
        <v>11</v>
      </c>
      <c r="K221" s="683" t="s">
        <v>11</v>
      </c>
      <c r="L221" s="701" t="s">
        <v>11</v>
      </c>
      <c r="M221" s="683" t="s">
        <v>11</v>
      </c>
    </row>
    <row r="222" spans="1:13" s="22" customFormat="1" ht="14.25" customHeight="1" x14ac:dyDescent="0.25">
      <c r="A222" s="353" t="s">
        <v>301</v>
      </c>
      <c r="B222" s="493">
        <v>0</v>
      </c>
      <c r="C222" s="493">
        <v>0</v>
      </c>
      <c r="D222" s="698">
        <f t="shared" si="33"/>
        <v>0</v>
      </c>
      <c r="E222" s="699">
        <f t="shared" si="34"/>
        <v>0</v>
      </c>
      <c r="F222" s="700"/>
      <c r="G222" s="353" t="s">
        <v>301</v>
      </c>
      <c r="H222" s="701">
        <v>0</v>
      </c>
      <c r="I222" s="683">
        <v>0</v>
      </c>
      <c r="J222" s="701" t="s">
        <v>11</v>
      </c>
      <c r="K222" s="683" t="s">
        <v>11</v>
      </c>
      <c r="L222" s="701" t="s">
        <v>11</v>
      </c>
      <c r="M222" s="683" t="s">
        <v>11</v>
      </c>
    </row>
    <row r="223" spans="1:13" s="22" customFormat="1" ht="11.5" x14ac:dyDescent="0.25">
      <c r="A223" s="353" t="s">
        <v>302</v>
      </c>
      <c r="B223" s="493">
        <v>0</v>
      </c>
      <c r="C223" s="493">
        <v>3</v>
      </c>
      <c r="D223" s="698">
        <f t="shared" si="33"/>
        <v>3</v>
      </c>
      <c r="E223" s="699">
        <f t="shared" si="34"/>
        <v>0.2</v>
      </c>
      <c r="F223" s="700"/>
      <c r="G223" s="353" t="s">
        <v>302</v>
      </c>
      <c r="H223" s="701">
        <f t="shared" si="35"/>
        <v>0</v>
      </c>
      <c r="I223" s="683">
        <f t="shared" si="25"/>
        <v>1</v>
      </c>
      <c r="J223" s="701" t="s">
        <v>11</v>
      </c>
      <c r="K223" s="683" t="s">
        <v>11</v>
      </c>
      <c r="L223" s="701" t="s">
        <v>11</v>
      </c>
      <c r="M223" s="683" t="s">
        <v>11</v>
      </c>
    </row>
    <row r="225" spans="1:16" s="60" customFormat="1" ht="11.5" x14ac:dyDescent="0.25">
      <c r="A225" s="49"/>
      <c r="B225" s="962"/>
      <c r="C225" s="962"/>
      <c r="D225" s="962"/>
      <c r="E225" s="962"/>
      <c r="H225" s="963">
        <v>2022</v>
      </c>
      <c r="I225" s="964"/>
      <c r="J225" s="965"/>
      <c r="K225" s="963">
        <v>2021</v>
      </c>
      <c r="L225" s="964"/>
      <c r="M225" s="965"/>
      <c r="N225" s="963">
        <v>2020</v>
      </c>
      <c r="O225" s="964"/>
      <c r="P225" s="965"/>
    </row>
    <row r="226" spans="1:16" s="60" customFormat="1" ht="23" x14ac:dyDescent="0.25">
      <c r="A226" s="276" t="s">
        <v>1152</v>
      </c>
      <c r="B226" s="149" t="s">
        <v>685</v>
      </c>
      <c r="C226" s="277" t="s">
        <v>686</v>
      </c>
      <c r="D226" s="149" t="s">
        <v>687</v>
      </c>
      <c r="E226" s="149" t="s">
        <v>688</v>
      </c>
      <c r="G226" s="273" t="s">
        <v>689</v>
      </c>
      <c r="H226" s="273" t="s">
        <v>693</v>
      </c>
      <c r="I226" s="274" t="s">
        <v>691</v>
      </c>
      <c r="J226" s="275" t="s">
        <v>692</v>
      </c>
      <c r="K226" s="273" t="s">
        <v>693</v>
      </c>
      <c r="L226" s="274" t="s">
        <v>691</v>
      </c>
      <c r="M226" s="275" t="s">
        <v>692</v>
      </c>
      <c r="N226" s="273" t="s">
        <v>690</v>
      </c>
      <c r="O226" s="274" t="s">
        <v>691</v>
      </c>
      <c r="P226" s="275" t="s">
        <v>692</v>
      </c>
    </row>
    <row r="227" spans="1:16" s="60" customFormat="1" ht="11.5" x14ac:dyDescent="0.25">
      <c r="A227" s="296" t="s">
        <v>471</v>
      </c>
      <c r="B227" s="282"/>
      <c r="C227" s="297"/>
      <c r="D227" s="282"/>
      <c r="E227" s="282"/>
      <c r="G227" s="289" t="s">
        <v>471</v>
      </c>
      <c r="H227" s="281"/>
      <c r="I227" s="282"/>
      <c r="J227" s="283"/>
      <c r="K227" s="281"/>
      <c r="L227" s="282"/>
      <c r="M227" s="283"/>
      <c r="N227" s="281"/>
      <c r="O227" s="282"/>
      <c r="P227" s="283"/>
    </row>
    <row r="228" spans="1:16" s="22" customFormat="1" ht="11.5" x14ac:dyDescent="0.25">
      <c r="A228" s="354" t="s">
        <v>298</v>
      </c>
      <c r="B228" s="493">
        <f>SUM(B234+B240+B246)</f>
        <v>0</v>
      </c>
      <c r="C228" s="493">
        <f>SUM(C234+C240+C246)</f>
        <v>2</v>
      </c>
      <c r="D228" s="493">
        <f>SUM(D234+D240+D246)</f>
        <v>9</v>
      </c>
      <c r="E228" s="698">
        <f>SUM(Tabla4248[[#This Row],[&lt; 30 ('#)]]+Tabla4248[[#This Row],[30 to 50 ('#)]]+Tabla4248[[#This Row],[51+ ('#)]])</f>
        <v>11</v>
      </c>
      <c r="G228" s="353" t="s">
        <v>298</v>
      </c>
      <c r="H228" s="701">
        <f>Tabla4248[[#This Row],[&lt; 30 ('#)]]/Tabla4248[[#This Row],[Total number of employees]]</f>
        <v>0</v>
      </c>
      <c r="I228" s="703">
        <f>Tabla4248[[#This Row],[30 to 50 ('#)]]/Tabla4248[[#This Row],[Total number of employees]]</f>
        <v>0.18181818181818182</v>
      </c>
      <c r="J228" s="683">
        <f>Tabla4248[[#This Row],[51+ ('#)]]/Tabla4248[[#This Row],[Total number of employees]]</f>
        <v>0.81818181818181823</v>
      </c>
      <c r="K228" s="702">
        <f>SUM(K234)</f>
        <v>0</v>
      </c>
      <c r="L228" s="682">
        <f t="shared" ref="L228:M232" si="36">SUM(L234)</f>
        <v>0.33</v>
      </c>
      <c r="M228" s="704">
        <f t="shared" si="36"/>
        <v>0.67</v>
      </c>
      <c r="N228" s="702">
        <f>SUM(N234)</f>
        <v>0</v>
      </c>
      <c r="O228" s="682">
        <f t="shared" ref="O228:P228" si="37">SUM(O234)</f>
        <v>0.33</v>
      </c>
      <c r="P228" s="704">
        <f t="shared" si="37"/>
        <v>0.67</v>
      </c>
    </row>
    <row r="229" spans="1:16" s="22" customFormat="1" ht="11.5" x14ac:dyDescent="0.25">
      <c r="A229" s="354" t="s">
        <v>299</v>
      </c>
      <c r="B229" s="493">
        <f t="shared" ref="B229:B232" si="38">SUM(B235+B241+B247)</f>
        <v>0</v>
      </c>
      <c r="C229" s="493">
        <f>SUM(C235+C241+C247)</f>
        <v>6</v>
      </c>
      <c r="D229" s="493">
        <f t="shared" ref="C229:D232" si="39">SUM(D235+D241+D247)</f>
        <v>7</v>
      </c>
      <c r="E229" s="698">
        <f>SUM(Tabla4248[[#This Row],[&lt; 30 ('#)]]+Tabla4248[[#This Row],[30 to 50 ('#)]]+Tabla4248[[#This Row],[51+ ('#)]])</f>
        <v>13</v>
      </c>
      <c r="G229" s="353" t="s">
        <v>299</v>
      </c>
      <c r="H229" s="701">
        <f>Tabla4248[[#This Row],[&lt; 30 ('#)]]/Tabla4248[[#This Row],[Total number of employees]]</f>
        <v>0</v>
      </c>
      <c r="I229" s="703">
        <f>Tabla4248[[#This Row],[30 to 50 ('#)]]/Tabla4248[[#This Row],[Total number of employees]]</f>
        <v>0.46153846153846156</v>
      </c>
      <c r="J229" s="683">
        <f>Tabla4248[[#This Row],[51+ ('#)]]/Tabla4248[[#This Row],[Total number of employees]]</f>
        <v>0.53846153846153844</v>
      </c>
      <c r="K229" s="702">
        <f>SUM(K235)</f>
        <v>0</v>
      </c>
      <c r="L229" s="682">
        <f t="shared" si="36"/>
        <v>0.55000000000000004</v>
      </c>
      <c r="M229" s="704">
        <f t="shared" si="36"/>
        <v>0.45</v>
      </c>
      <c r="N229" s="702">
        <f t="shared" ref="N229:P232" si="40">SUM(N235)</f>
        <v>0</v>
      </c>
      <c r="O229" s="682">
        <f t="shared" si="40"/>
        <v>0.6</v>
      </c>
      <c r="P229" s="704">
        <f t="shared" si="40"/>
        <v>0.4</v>
      </c>
    </row>
    <row r="230" spans="1:16" s="22" customFormat="1" ht="11.5" x14ac:dyDescent="0.25">
      <c r="A230" s="354" t="s">
        <v>300</v>
      </c>
      <c r="B230" s="493">
        <f t="shared" si="38"/>
        <v>0</v>
      </c>
      <c r="C230" s="493">
        <f t="shared" si="39"/>
        <v>33</v>
      </c>
      <c r="D230" s="493">
        <f t="shared" si="39"/>
        <v>11</v>
      </c>
      <c r="E230" s="698">
        <f>SUM(Tabla4248[[#This Row],[&lt; 30 ('#)]]+Tabla4248[[#This Row],[30 to 50 ('#)]]+Tabla4248[[#This Row],[51+ ('#)]])</f>
        <v>44</v>
      </c>
      <c r="G230" s="353" t="s">
        <v>300</v>
      </c>
      <c r="H230" s="701">
        <f>Tabla4248[[#This Row],[&lt; 30 ('#)]]/Tabla4248[[#This Row],[Total number of employees]]</f>
        <v>0</v>
      </c>
      <c r="I230" s="703">
        <f>Tabla4248[[#This Row],[30 to 50 ('#)]]/Tabla4248[[#This Row],[Total number of employees]]</f>
        <v>0.75</v>
      </c>
      <c r="J230" s="683">
        <f>Tabla4248[[#This Row],[51+ ('#)]]/Tabla4248[[#This Row],[Total number of employees]]</f>
        <v>0.25</v>
      </c>
      <c r="K230" s="702">
        <f>SUM(K236)</f>
        <v>0</v>
      </c>
      <c r="L230" s="682">
        <f t="shared" si="36"/>
        <v>0.68</v>
      </c>
      <c r="M230" s="704">
        <f t="shared" si="36"/>
        <v>0.32</v>
      </c>
      <c r="N230" s="702">
        <f t="shared" si="40"/>
        <v>0</v>
      </c>
      <c r="O230" s="682">
        <f t="shared" si="40"/>
        <v>0.5</v>
      </c>
      <c r="P230" s="704">
        <f t="shared" si="40"/>
        <v>0.5</v>
      </c>
    </row>
    <row r="231" spans="1:16" s="22" customFormat="1" ht="11.5" x14ac:dyDescent="0.25">
      <c r="A231" s="354" t="s">
        <v>303</v>
      </c>
      <c r="B231" s="493">
        <f t="shared" si="38"/>
        <v>4</v>
      </c>
      <c r="C231" s="493">
        <f t="shared" si="39"/>
        <v>82</v>
      </c>
      <c r="D231" s="493">
        <f t="shared" si="39"/>
        <v>41</v>
      </c>
      <c r="E231" s="698">
        <f>SUM(Tabla4248[[#This Row],[&lt; 30 ('#)]]+Tabla4248[[#This Row],[30 to 50 ('#)]]+Tabla4248[[#This Row],[51+ ('#)]])</f>
        <v>127</v>
      </c>
      <c r="G231" s="353" t="s">
        <v>303</v>
      </c>
      <c r="H231" s="701">
        <f>Tabla4248[[#This Row],[&lt; 30 ('#)]]/Tabla4248[[#This Row],[Total number of employees]]</f>
        <v>3.1496062992125984E-2</v>
      </c>
      <c r="I231" s="703">
        <f>Tabla4248[[#This Row],[30 to 50 ('#)]]/Tabla4248[[#This Row],[Total number of employees]]</f>
        <v>0.64566929133858264</v>
      </c>
      <c r="J231" s="683">
        <f>Tabla4248[[#This Row],[51+ ('#)]]/Tabla4248[[#This Row],[Total number of employees]]</f>
        <v>0.32283464566929132</v>
      </c>
      <c r="K231" s="702">
        <f>SUM(K237)</f>
        <v>0.01</v>
      </c>
      <c r="L231" s="682">
        <f t="shared" si="36"/>
        <v>0.71</v>
      </c>
      <c r="M231" s="704">
        <f t="shared" si="36"/>
        <v>0.28000000000000003</v>
      </c>
      <c r="N231" s="702">
        <f t="shared" si="40"/>
        <v>0.11</v>
      </c>
      <c r="O231" s="682">
        <f t="shared" si="40"/>
        <v>0.7</v>
      </c>
      <c r="P231" s="704">
        <f t="shared" si="40"/>
        <v>0.3</v>
      </c>
    </row>
    <row r="232" spans="1:16" s="22" customFormat="1" ht="11.5" x14ac:dyDescent="0.25">
      <c r="A232" s="354" t="s">
        <v>302</v>
      </c>
      <c r="B232" s="493">
        <f t="shared" si="38"/>
        <v>130</v>
      </c>
      <c r="C232" s="493">
        <f t="shared" si="39"/>
        <v>783</v>
      </c>
      <c r="D232" s="493">
        <f t="shared" si="39"/>
        <v>133</v>
      </c>
      <c r="E232" s="698">
        <f>SUM(Tabla4248[[#This Row],[&lt; 30 ('#)]]+Tabla4248[[#This Row],[30 to 50 ('#)]]+Tabla4248[[#This Row],[51+ ('#)]])</f>
        <v>1046</v>
      </c>
      <c r="G232" s="353" t="s">
        <v>302</v>
      </c>
      <c r="H232" s="701">
        <f>Tabla4248[[#This Row],[&lt; 30 ('#)]]/Tabla4248[[#This Row],[Total number of employees]]</f>
        <v>0.124282982791587</v>
      </c>
      <c r="I232" s="703">
        <f>Tabla4248[[#This Row],[30 to 50 ('#)]]/Tabla4248[[#This Row],[Total number of employees]]</f>
        <v>0.74856596558317401</v>
      </c>
      <c r="J232" s="683">
        <f>Tabla4248[[#This Row],[51+ ('#)]]/Tabla4248[[#This Row],[Total number of employees]]</f>
        <v>0.12715105162523901</v>
      </c>
      <c r="K232" s="702">
        <f>SUM(K238)</f>
        <v>0.1</v>
      </c>
      <c r="L232" s="682">
        <f t="shared" si="36"/>
        <v>0.77</v>
      </c>
      <c r="M232" s="704">
        <f t="shared" si="36"/>
        <v>0.13</v>
      </c>
      <c r="N232" s="702">
        <f t="shared" si="40"/>
        <v>0.1</v>
      </c>
      <c r="O232" s="682">
        <f t="shared" si="40"/>
        <v>0.76</v>
      </c>
      <c r="P232" s="704">
        <f t="shared" si="40"/>
        <v>0.13</v>
      </c>
    </row>
    <row r="233" spans="1:16" s="60" customFormat="1" ht="11.5" x14ac:dyDescent="0.25">
      <c r="A233" s="298" t="s">
        <v>545</v>
      </c>
      <c r="B233" s="282"/>
      <c r="C233" s="297"/>
      <c r="D233" s="282"/>
      <c r="E233" s="299"/>
      <c r="G233" s="288" t="s">
        <v>545</v>
      </c>
      <c r="H233" s="281"/>
      <c r="I233" s="282"/>
      <c r="J233" s="283"/>
      <c r="K233" s="281"/>
      <c r="L233" s="282"/>
      <c r="M233" s="283"/>
      <c r="N233" s="281"/>
      <c r="O233" s="282"/>
      <c r="P233" s="283"/>
    </row>
    <row r="234" spans="1:16" s="22" customFormat="1" ht="11.5" x14ac:dyDescent="0.25">
      <c r="A234" s="354" t="s">
        <v>298</v>
      </c>
      <c r="B234" s="493">
        <v>0</v>
      </c>
      <c r="C234" s="493">
        <v>0</v>
      </c>
      <c r="D234" s="493">
        <v>3</v>
      </c>
      <c r="E234" s="698">
        <f>SUM(Tabla4248[[#This Row],[&lt; 30 ('#)]]+Tabla4248[[#This Row],[30 to 50 ('#)]]+Tabla4248[[#This Row],[51+ ('#)]])</f>
        <v>3</v>
      </c>
      <c r="G234" s="353" t="s">
        <v>298</v>
      </c>
      <c r="H234" s="701">
        <f>Tabla4248[[#This Row],[&lt; 30 ('#)]]/Tabla4248[[#This Row],[Total number of employees]]</f>
        <v>0</v>
      </c>
      <c r="I234" s="703">
        <f>Tabla4248[[#This Row],[30 to 50 ('#)]]/Tabla4248[[#This Row],[Total number of employees]]</f>
        <v>0</v>
      </c>
      <c r="J234" s="683">
        <f>Tabla4248[[#This Row],[51+ ('#)]]/Tabla4248[[#This Row],[Total number of employees]]</f>
        <v>1</v>
      </c>
      <c r="K234" s="705">
        <v>0</v>
      </c>
      <c r="L234" s="677">
        <v>0.33</v>
      </c>
      <c r="M234" s="706">
        <v>0.67</v>
      </c>
      <c r="N234" s="705">
        <v>0</v>
      </c>
      <c r="O234" s="677">
        <v>0.33</v>
      </c>
      <c r="P234" s="706">
        <v>0.67</v>
      </c>
    </row>
    <row r="235" spans="1:16" s="22" customFormat="1" ht="11.5" x14ac:dyDescent="0.25">
      <c r="A235" s="354" t="s">
        <v>299</v>
      </c>
      <c r="B235" s="493">
        <v>0</v>
      </c>
      <c r="C235" s="493">
        <v>5</v>
      </c>
      <c r="D235" s="493">
        <v>7</v>
      </c>
      <c r="E235" s="698">
        <f>SUM(Tabla4248[[#This Row],[&lt; 30 ('#)]]+Tabla4248[[#This Row],[30 to 50 ('#)]]+Tabla4248[[#This Row],[51+ ('#)]])</f>
        <v>12</v>
      </c>
      <c r="G235" s="353" t="s">
        <v>299</v>
      </c>
      <c r="H235" s="701">
        <f>Tabla4248[[#This Row],[&lt; 30 ('#)]]/Tabla4248[[#This Row],[Total number of employees]]</f>
        <v>0</v>
      </c>
      <c r="I235" s="703">
        <f>Tabla4248[[#This Row],[30 to 50 ('#)]]/Tabla4248[[#This Row],[Total number of employees]]</f>
        <v>0.41666666666666669</v>
      </c>
      <c r="J235" s="683">
        <f>Tabla4248[[#This Row],[51+ ('#)]]/Tabla4248[[#This Row],[Total number of employees]]</f>
        <v>0.58333333333333337</v>
      </c>
      <c r="K235" s="705">
        <v>0</v>
      </c>
      <c r="L235" s="677">
        <v>0.55000000000000004</v>
      </c>
      <c r="M235" s="706">
        <v>0.45</v>
      </c>
      <c r="N235" s="705">
        <v>0</v>
      </c>
      <c r="O235" s="677">
        <v>0.6</v>
      </c>
      <c r="P235" s="706">
        <v>0.4</v>
      </c>
    </row>
    <row r="236" spans="1:16" s="22" customFormat="1" ht="11.5" x14ac:dyDescent="0.25">
      <c r="A236" s="354" t="s">
        <v>300</v>
      </c>
      <c r="B236" s="493">
        <v>0</v>
      </c>
      <c r="C236" s="493">
        <v>25</v>
      </c>
      <c r="D236" s="493">
        <v>6</v>
      </c>
      <c r="E236" s="698">
        <f>SUM(Tabla4248[[#This Row],[&lt; 30 ('#)]]+Tabla4248[[#This Row],[30 to 50 ('#)]]+Tabla4248[[#This Row],[51+ ('#)]])</f>
        <v>31</v>
      </c>
      <c r="G236" s="353" t="s">
        <v>300</v>
      </c>
      <c r="H236" s="701">
        <f>Tabla4248[[#This Row],[&lt; 30 ('#)]]/Tabla4248[[#This Row],[Total number of employees]]</f>
        <v>0</v>
      </c>
      <c r="I236" s="703">
        <f>Tabla4248[[#This Row],[30 to 50 ('#)]]/Tabla4248[[#This Row],[Total number of employees]]</f>
        <v>0.80645161290322576</v>
      </c>
      <c r="J236" s="683">
        <f>Tabla4248[[#This Row],[51+ ('#)]]/Tabla4248[[#This Row],[Total number of employees]]</f>
        <v>0.19354838709677419</v>
      </c>
      <c r="K236" s="705">
        <v>0</v>
      </c>
      <c r="L236" s="677">
        <v>0.68</v>
      </c>
      <c r="M236" s="706">
        <v>0.32</v>
      </c>
      <c r="N236" s="705">
        <v>0</v>
      </c>
      <c r="O236" s="677">
        <v>0.5</v>
      </c>
      <c r="P236" s="706">
        <v>0.5</v>
      </c>
    </row>
    <row r="237" spans="1:16" s="22" customFormat="1" ht="11.5" x14ac:dyDescent="0.25">
      <c r="A237" s="354" t="s">
        <v>303</v>
      </c>
      <c r="B237" s="493">
        <v>4</v>
      </c>
      <c r="C237" s="493">
        <v>82</v>
      </c>
      <c r="D237" s="493">
        <v>30</v>
      </c>
      <c r="E237" s="698">
        <f>SUM(Tabla4248[[#This Row],[&lt; 30 ('#)]]+Tabla4248[[#This Row],[30 to 50 ('#)]]+Tabla4248[[#This Row],[51+ ('#)]])</f>
        <v>116</v>
      </c>
      <c r="G237" s="353" t="s">
        <v>303</v>
      </c>
      <c r="H237" s="701">
        <f>Tabla4248[[#This Row],[&lt; 30 ('#)]]/Tabla4248[[#This Row],[Total number of employees]]</f>
        <v>3.4482758620689655E-2</v>
      </c>
      <c r="I237" s="703">
        <f>Tabla4248[[#This Row],[30 to 50 ('#)]]/Tabla4248[[#This Row],[Total number of employees]]</f>
        <v>0.7068965517241379</v>
      </c>
      <c r="J237" s="683">
        <f>Tabla4248[[#This Row],[51+ ('#)]]/Tabla4248[[#This Row],[Total number of employees]]</f>
        <v>0.25862068965517243</v>
      </c>
      <c r="K237" s="705">
        <v>0.01</v>
      </c>
      <c r="L237" s="677">
        <v>0.71</v>
      </c>
      <c r="M237" s="706">
        <v>0.28000000000000003</v>
      </c>
      <c r="N237" s="705">
        <v>0.11</v>
      </c>
      <c r="O237" s="677">
        <v>0.7</v>
      </c>
      <c r="P237" s="706">
        <v>0.3</v>
      </c>
    </row>
    <row r="238" spans="1:16" s="22" customFormat="1" ht="11.5" x14ac:dyDescent="0.25">
      <c r="A238" s="354" t="s">
        <v>302</v>
      </c>
      <c r="B238" s="493">
        <v>121</v>
      </c>
      <c r="C238" s="493">
        <v>756</v>
      </c>
      <c r="D238" s="493">
        <v>118</v>
      </c>
      <c r="E238" s="698">
        <f>SUM(Tabla4248[[#This Row],[&lt; 30 ('#)]]+Tabla4248[[#This Row],[30 to 50 ('#)]]+Tabla4248[[#This Row],[51+ ('#)]])</f>
        <v>995</v>
      </c>
      <c r="G238" s="353" t="s">
        <v>302</v>
      </c>
      <c r="H238" s="701">
        <f>Tabla4248[[#This Row],[&lt; 30 ('#)]]/Tabla4248[[#This Row],[Total number of employees]]</f>
        <v>0.12160804020100502</v>
      </c>
      <c r="I238" s="703">
        <f>Tabla4248[[#This Row],[30 to 50 ('#)]]/Tabla4248[[#This Row],[Total number of employees]]</f>
        <v>0.75979899497487435</v>
      </c>
      <c r="J238" s="683">
        <f>Tabla4248[[#This Row],[51+ ('#)]]/Tabla4248[[#This Row],[Total number of employees]]</f>
        <v>0.1185929648241206</v>
      </c>
      <c r="K238" s="705">
        <v>0.1</v>
      </c>
      <c r="L238" s="677">
        <v>0.77</v>
      </c>
      <c r="M238" s="706">
        <v>0.13</v>
      </c>
      <c r="N238" s="705">
        <v>0.1</v>
      </c>
      <c r="O238" s="677">
        <v>0.76</v>
      </c>
      <c r="P238" s="706">
        <v>0.13</v>
      </c>
    </row>
    <row r="239" spans="1:16" s="60" customFormat="1" ht="11.5" x14ac:dyDescent="0.25">
      <c r="A239" s="298" t="s">
        <v>546</v>
      </c>
      <c r="B239" s="282"/>
      <c r="C239" s="297"/>
      <c r="D239" s="282"/>
      <c r="E239" s="299"/>
      <c r="G239" s="288" t="s">
        <v>546</v>
      </c>
      <c r="H239" s="281"/>
      <c r="I239" s="282"/>
      <c r="J239" s="283"/>
      <c r="K239" s="281"/>
      <c r="L239" s="282"/>
      <c r="M239" s="283"/>
      <c r="N239" s="281"/>
      <c r="O239" s="282"/>
      <c r="P239" s="283"/>
    </row>
    <row r="240" spans="1:16" s="22" customFormat="1" ht="11.5" x14ac:dyDescent="0.25">
      <c r="A240" s="354" t="s">
        <v>298</v>
      </c>
      <c r="B240" s="493">
        <v>0</v>
      </c>
      <c r="C240" s="493">
        <v>0</v>
      </c>
      <c r="D240" s="493">
        <v>3</v>
      </c>
      <c r="E240" s="698">
        <f>SUM(Tabla4248[[#This Row],[&lt; 30 ('#)]]+Tabla4248[[#This Row],[30 to 50 ('#)]]+Tabla4248[[#This Row],[51+ ('#)]])</f>
        <v>3</v>
      </c>
      <c r="G240" s="353" t="s">
        <v>298</v>
      </c>
      <c r="H240" s="701">
        <f>Tabla4248[[#This Row],[&lt; 30 ('#)]]/Tabla4248[[#This Row],[Total number of employees]]</f>
        <v>0</v>
      </c>
      <c r="I240" s="703">
        <f>Tabla4248[[#This Row],[30 to 50 ('#)]]/Tabla4248[[#This Row],[Total number of employees]]</f>
        <v>0</v>
      </c>
      <c r="J240" s="683">
        <f>Tabla4248[[#This Row],[51+ ('#)]]/Tabla4248[[#This Row],[Total number of employees]]</f>
        <v>1</v>
      </c>
      <c r="K240" s="707" t="s">
        <v>11</v>
      </c>
      <c r="L240" s="493" t="s">
        <v>11</v>
      </c>
      <c r="M240" s="681" t="s">
        <v>11</v>
      </c>
      <c r="N240" s="707" t="s">
        <v>11</v>
      </c>
      <c r="O240" s="493" t="s">
        <v>11</v>
      </c>
      <c r="P240" s="681" t="s">
        <v>11</v>
      </c>
    </row>
    <row r="241" spans="1:16" s="22" customFormat="1" ht="11.5" x14ac:dyDescent="0.25">
      <c r="A241" s="354" t="s">
        <v>299</v>
      </c>
      <c r="B241" s="493">
        <v>0</v>
      </c>
      <c r="C241" s="493">
        <v>1</v>
      </c>
      <c r="D241" s="493">
        <v>0</v>
      </c>
      <c r="E241" s="698">
        <f>SUM(Tabla4248[[#This Row],[&lt; 30 ('#)]]+Tabla4248[[#This Row],[30 to 50 ('#)]]+Tabla4248[[#This Row],[51+ ('#)]])</f>
        <v>1</v>
      </c>
      <c r="G241" s="353" t="s">
        <v>299</v>
      </c>
      <c r="H241" s="701">
        <f>Tabla4248[[#This Row],[&lt; 30 ('#)]]/Tabla4248[[#This Row],[Total number of employees]]</f>
        <v>0</v>
      </c>
      <c r="I241" s="703">
        <f>Tabla4248[[#This Row],[30 to 50 ('#)]]/Tabla4248[[#This Row],[Total number of employees]]</f>
        <v>1</v>
      </c>
      <c r="J241" s="683">
        <f>Tabla4248[[#This Row],[51+ ('#)]]/Tabla4248[[#This Row],[Total number of employees]]</f>
        <v>0</v>
      </c>
      <c r="K241" s="707" t="s">
        <v>11</v>
      </c>
      <c r="L241" s="493" t="s">
        <v>11</v>
      </c>
      <c r="M241" s="681" t="s">
        <v>11</v>
      </c>
      <c r="N241" s="707" t="s">
        <v>11</v>
      </c>
      <c r="O241" s="493" t="s">
        <v>11</v>
      </c>
      <c r="P241" s="681" t="s">
        <v>11</v>
      </c>
    </row>
    <row r="242" spans="1:16" s="22" customFormat="1" ht="11.5" x14ac:dyDescent="0.25">
      <c r="A242" s="354" t="s">
        <v>300</v>
      </c>
      <c r="B242" s="493">
        <v>0</v>
      </c>
      <c r="C242" s="493">
        <v>3</v>
      </c>
      <c r="D242" s="493">
        <v>3</v>
      </c>
      <c r="E242" s="698">
        <f>SUM(Tabla4248[[#This Row],[&lt; 30 ('#)]]+Tabla4248[[#This Row],[30 to 50 ('#)]]+Tabla4248[[#This Row],[51+ ('#)]])</f>
        <v>6</v>
      </c>
      <c r="G242" s="353" t="s">
        <v>300</v>
      </c>
      <c r="H242" s="701">
        <f>Tabla4248[[#This Row],[&lt; 30 ('#)]]/Tabla4248[[#This Row],[Total number of employees]]</f>
        <v>0</v>
      </c>
      <c r="I242" s="703">
        <f>Tabla4248[[#This Row],[30 to 50 ('#)]]/Tabla4248[[#This Row],[Total number of employees]]</f>
        <v>0.5</v>
      </c>
      <c r="J242" s="683">
        <f>Tabla4248[[#This Row],[51+ ('#)]]/Tabla4248[[#This Row],[Total number of employees]]</f>
        <v>0.5</v>
      </c>
      <c r="K242" s="707" t="s">
        <v>11</v>
      </c>
      <c r="L242" s="493" t="s">
        <v>11</v>
      </c>
      <c r="M242" s="681" t="s">
        <v>11</v>
      </c>
      <c r="N242" s="707" t="s">
        <v>11</v>
      </c>
      <c r="O242" s="493" t="s">
        <v>11</v>
      </c>
      <c r="P242" s="681" t="s">
        <v>11</v>
      </c>
    </row>
    <row r="243" spans="1:16" s="22" customFormat="1" ht="11.5" x14ac:dyDescent="0.25">
      <c r="A243" s="354" t="s">
        <v>303</v>
      </c>
      <c r="B243" s="493">
        <v>0</v>
      </c>
      <c r="C243" s="493">
        <v>0</v>
      </c>
      <c r="D243" s="493">
        <v>11</v>
      </c>
      <c r="E243" s="698">
        <f>SUM(Tabla4248[[#This Row],[&lt; 30 ('#)]]+Tabla4248[[#This Row],[30 to 50 ('#)]]+Tabla4248[[#This Row],[51+ ('#)]])</f>
        <v>11</v>
      </c>
      <c r="G243" s="353" t="s">
        <v>303</v>
      </c>
      <c r="H243" s="701">
        <f>Tabla4248[[#This Row],[&lt; 30 ('#)]]/Tabla4248[[#This Row],[Total number of employees]]</f>
        <v>0</v>
      </c>
      <c r="I243" s="703">
        <f>Tabla4248[[#This Row],[30 to 50 ('#)]]/Tabla4248[[#This Row],[Total number of employees]]</f>
        <v>0</v>
      </c>
      <c r="J243" s="683">
        <f>Tabla4248[[#This Row],[51+ ('#)]]/Tabla4248[[#This Row],[Total number of employees]]</f>
        <v>1</v>
      </c>
      <c r="K243" s="707" t="s">
        <v>11</v>
      </c>
      <c r="L243" s="493" t="s">
        <v>11</v>
      </c>
      <c r="M243" s="681" t="s">
        <v>11</v>
      </c>
      <c r="N243" s="707" t="s">
        <v>11</v>
      </c>
      <c r="O243" s="493" t="s">
        <v>11</v>
      </c>
      <c r="P243" s="681" t="s">
        <v>11</v>
      </c>
    </row>
    <row r="244" spans="1:16" s="22" customFormat="1" ht="11.5" x14ac:dyDescent="0.25">
      <c r="A244" s="354" t="s">
        <v>302</v>
      </c>
      <c r="B244" s="493">
        <v>9</v>
      </c>
      <c r="C244" s="493">
        <v>25</v>
      </c>
      <c r="D244" s="493">
        <v>14</v>
      </c>
      <c r="E244" s="698">
        <f>SUM(Tabla4248[[#This Row],[&lt; 30 ('#)]]+Tabla4248[[#This Row],[30 to 50 ('#)]]+Tabla4248[[#This Row],[51+ ('#)]])</f>
        <v>48</v>
      </c>
      <c r="G244" s="353" t="s">
        <v>302</v>
      </c>
      <c r="H244" s="701">
        <f>Tabla4248[[#This Row],[&lt; 30 ('#)]]/Tabla4248[[#This Row],[Total number of employees]]</f>
        <v>0.1875</v>
      </c>
      <c r="I244" s="703">
        <f>Tabla4248[[#This Row],[30 to 50 ('#)]]/Tabla4248[[#This Row],[Total number of employees]]</f>
        <v>0.52083333333333337</v>
      </c>
      <c r="J244" s="683">
        <f>Tabla4248[[#This Row],[51+ ('#)]]/Tabla4248[[#This Row],[Total number of employees]]</f>
        <v>0.29166666666666669</v>
      </c>
      <c r="K244" s="707" t="s">
        <v>11</v>
      </c>
      <c r="L244" s="493" t="s">
        <v>11</v>
      </c>
      <c r="M244" s="681" t="s">
        <v>11</v>
      </c>
      <c r="N244" s="707" t="s">
        <v>11</v>
      </c>
      <c r="O244" s="493" t="s">
        <v>11</v>
      </c>
      <c r="P244" s="681" t="s">
        <v>11</v>
      </c>
    </row>
    <row r="245" spans="1:16" s="60" customFormat="1" ht="11.5" x14ac:dyDescent="0.25">
      <c r="A245" s="298" t="s">
        <v>681</v>
      </c>
      <c r="B245" s="282"/>
      <c r="C245" s="282"/>
      <c r="D245" s="282"/>
      <c r="E245" s="282"/>
      <c r="G245" s="269" t="s">
        <v>681</v>
      </c>
      <c r="H245" s="281"/>
      <c r="I245" s="282"/>
      <c r="J245" s="283"/>
      <c r="K245" s="284"/>
      <c r="L245" s="282"/>
      <c r="M245" s="285"/>
      <c r="N245" s="281"/>
      <c r="O245" s="286"/>
      <c r="P245" s="287"/>
    </row>
    <row r="246" spans="1:16" s="22" customFormat="1" ht="11.5" x14ac:dyDescent="0.25">
      <c r="A246" s="354" t="s">
        <v>298</v>
      </c>
      <c r="B246" s="493">
        <v>0</v>
      </c>
      <c r="C246" s="493">
        <v>2</v>
      </c>
      <c r="D246" s="493">
        <v>3</v>
      </c>
      <c r="E246" s="698">
        <f>SUM(B246+C246+D246)</f>
        <v>5</v>
      </c>
      <c r="G246" s="353" t="s">
        <v>298</v>
      </c>
      <c r="H246" s="701">
        <f>Tabla4248[[#This Row],[&lt; 30 ('#)]]/Tabla4248[[#This Row],[Total number of employees]]</f>
        <v>0</v>
      </c>
      <c r="I246" s="703">
        <f>Tabla4248[[#This Row],[30 to 50 ('#)]]/Tabla4248[[#This Row],[Total number of employees]]</f>
        <v>0.4</v>
      </c>
      <c r="J246" s="683">
        <f>Tabla4248[[#This Row],[51+ ('#)]]/Tabla4248[[#This Row],[Total number of employees]]</f>
        <v>0.6</v>
      </c>
      <c r="K246" s="707" t="s">
        <v>11</v>
      </c>
      <c r="L246" s="493" t="s">
        <v>11</v>
      </c>
      <c r="M246" s="681" t="s">
        <v>11</v>
      </c>
      <c r="N246" s="707" t="s">
        <v>11</v>
      </c>
      <c r="O246" s="493" t="s">
        <v>11</v>
      </c>
      <c r="P246" s="681" t="s">
        <v>11</v>
      </c>
    </row>
    <row r="247" spans="1:16" s="22" customFormat="1" ht="11.5" x14ac:dyDescent="0.25">
      <c r="A247" s="354" t="s">
        <v>299</v>
      </c>
      <c r="B247" s="493">
        <v>0</v>
      </c>
      <c r="C247" s="493">
        <v>0</v>
      </c>
      <c r="D247" s="493">
        <v>0</v>
      </c>
      <c r="E247" s="698">
        <f>SUM(B247+C247+D247)</f>
        <v>0</v>
      </c>
      <c r="G247" s="353" t="s">
        <v>299</v>
      </c>
      <c r="H247" s="701">
        <v>0</v>
      </c>
      <c r="I247" s="703">
        <v>0</v>
      </c>
      <c r="J247" s="683">
        <v>0</v>
      </c>
      <c r="K247" s="707" t="s">
        <v>11</v>
      </c>
      <c r="L247" s="493" t="s">
        <v>11</v>
      </c>
      <c r="M247" s="681" t="s">
        <v>11</v>
      </c>
      <c r="N247" s="707" t="s">
        <v>11</v>
      </c>
      <c r="O247" s="493" t="s">
        <v>11</v>
      </c>
      <c r="P247" s="681" t="s">
        <v>11</v>
      </c>
    </row>
    <row r="248" spans="1:16" s="22" customFormat="1" ht="11.5" x14ac:dyDescent="0.25">
      <c r="A248" s="354" t="s">
        <v>300</v>
      </c>
      <c r="B248" s="493">
        <v>0</v>
      </c>
      <c r="C248" s="493">
        <v>5</v>
      </c>
      <c r="D248" s="493">
        <v>2</v>
      </c>
      <c r="E248" s="698">
        <f>SUM(B248+C248+D248)</f>
        <v>7</v>
      </c>
      <c r="G248" s="353" t="s">
        <v>300</v>
      </c>
      <c r="H248" s="701">
        <f>Tabla4248[[#This Row],[&lt; 30 ('#)]]/Tabla4248[[#This Row],[Total number of employees]]</f>
        <v>0</v>
      </c>
      <c r="I248" s="703">
        <f>Tabla4248[[#This Row],[30 to 50 ('#)]]/Tabla4248[[#This Row],[Total number of employees]]</f>
        <v>0.7142857142857143</v>
      </c>
      <c r="J248" s="683">
        <f>Tabla4248[[#This Row],[51+ ('#)]]/Tabla4248[[#This Row],[Total number of employees]]</f>
        <v>0.2857142857142857</v>
      </c>
      <c r="K248" s="707" t="s">
        <v>11</v>
      </c>
      <c r="L248" s="493" t="s">
        <v>11</v>
      </c>
      <c r="M248" s="681" t="s">
        <v>11</v>
      </c>
      <c r="N248" s="707" t="s">
        <v>11</v>
      </c>
      <c r="O248" s="493" t="s">
        <v>11</v>
      </c>
      <c r="P248" s="681" t="s">
        <v>11</v>
      </c>
    </row>
    <row r="249" spans="1:16" s="22" customFormat="1" ht="11.5" x14ac:dyDescent="0.25">
      <c r="A249" s="354" t="s">
        <v>303</v>
      </c>
      <c r="B249" s="493">
        <v>0</v>
      </c>
      <c r="C249" s="493">
        <v>0</v>
      </c>
      <c r="D249" s="493">
        <v>0</v>
      </c>
      <c r="E249" s="698">
        <f>SUM(B249+C249+D249)</f>
        <v>0</v>
      </c>
      <c r="G249" s="353" t="s">
        <v>303</v>
      </c>
      <c r="H249" s="701">
        <v>0</v>
      </c>
      <c r="I249" s="703">
        <v>0</v>
      </c>
      <c r="J249" s="683">
        <v>0</v>
      </c>
      <c r="K249" s="707" t="s">
        <v>11</v>
      </c>
      <c r="L249" s="493" t="s">
        <v>11</v>
      </c>
      <c r="M249" s="681" t="s">
        <v>11</v>
      </c>
      <c r="N249" s="707" t="s">
        <v>11</v>
      </c>
      <c r="O249" s="493" t="s">
        <v>11</v>
      </c>
      <c r="P249" s="681" t="s">
        <v>11</v>
      </c>
    </row>
    <row r="250" spans="1:16" s="22" customFormat="1" ht="11.5" x14ac:dyDescent="0.25">
      <c r="A250" s="347" t="s">
        <v>302</v>
      </c>
      <c r="B250" s="589">
        <v>0</v>
      </c>
      <c r="C250" s="589">
        <v>2</v>
      </c>
      <c r="D250" s="589">
        <v>1</v>
      </c>
      <c r="E250" s="708">
        <f>SUM(B250+C250+D250)</f>
        <v>3</v>
      </c>
      <c r="G250" s="353" t="s">
        <v>302</v>
      </c>
      <c r="H250" s="701">
        <f>Tabla4248[[#This Row],[&lt; 30 ('#)]]/Tabla4248[[#This Row],[Total number of employees]]</f>
        <v>0</v>
      </c>
      <c r="I250" s="703">
        <f>Tabla4248[[#This Row],[30 to 50 ('#)]]/Tabla4248[[#This Row],[Total number of employees]]</f>
        <v>0.66666666666666663</v>
      </c>
      <c r="J250" s="683">
        <f>Tabla4248[[#This Row],[51+ ('#)]]/Tabla4248[[#This Row],[Total number of employees]]</f>
        <v>0.33333333333333331</v>
      </c>
      <c r="K250" s="707" t="s">
        <v>11</v>
      </c>
      <c r="L250" s="493" t="s">
        <v>11</v>
      </c>
      <c r="M250" s="681" t="s">
        <v>11</v>
      </c>
      <c r="N250" s="707" t="s">
        <v>11</v>
      </c>
      <c r="O250" s="493" t="s">
        <v>11</v>
      </c>
      <c r="P250" s="681" t="s">
        <v>11</v>
      </c>
    </row>
    <row r="251" spans="1:16" s="60" customFormat="1" ht="11.5" x14ac:dyDescent="0.25">
      <c r="A251" s="67"/>
      <c r="B251" s="108"/>
      <c r="C251" s="109"/>
      <c r="D251" s="108"/>
      <c r="E251" s="109"/>
      <c r="F251" s="108"/>
      <c r="G251" s="109"/>
      <c r="H251" s="110"/>
    </row>
    <row r="252" spans="1:16" s="62" customFormat="1" ht="30" customHeight="1" thickBot="1" x14ac:dyDescent="0.45">
      <c r="A252" s="935" t="s">
        <v>73</v>
      </c>
      <c r="B252" s="935"/>
      <c r="C252" s="935"/>
      <c r="D252" s="935"/>
      <c r="E252" s="935"/>
      <c r="F252" s="935"/>
      <c r="G252" s="935"/>
      <c r="H252" s="935"/>
      <c r="I252" s="935"/>
      <c r="J252" s="935"/>
      <c r="K252" s="935"/>
      <c r="L252" s="935"/>
      <c r="M252" s="15"/>
      <c r="N252" s="98"/>
    </row>
    <row r="253" spans="1:16" x14ac:dyDescent="0.3">
      <c r="A253" s="17" t="s">
        <v>304</v>
      </c>
    </row>
    <row r="255" spans="1:16" s="58" customFormat="1" ht="24" customHeight="1" x14ac:dyDescent="0.25">
      <c r="A255" s="144" t="s">
        <v>694</v>
      </c>
      <c r="B255" s="271" t="s">
        <v>695</v>
      </c>
      <c r="C255" s="272" t="s">
        <v>545</v>
      </c>
      <c r="D255" s="272" t="s">
        <v>546</v>
      </c>
      <c r="E255" s="73"/>
    </row>
    <row r="256" spans="1:16" s="22" customFormat="1" ht="11.5" x14ac:dyDescent="0.25">
      <c r="A256" s="358" t="s">
        <v>698</v>
      </c>
      <c r="B256" s="594">
        <v>0.77</v>
      </c>
      <c r="C256" s="510" t="s">
        <v>11</v>
      </c>
      <c r="D256" s="510" t="s">
        <v>11</v>
      </c>
      <c r="E256" s="35"/>
    </row>
    <row r="257" spans="1:14" s="22" customFormat="1" ht="11.5" x14ac:dyDescent="0.25">
      <c r="A257" s="358" t="s">
        <v>699</v>
      </c>
      <c r="B257" s="510" t="s">
        <v>11</v>
      </c>
      <c r="C257" s="510" t="s">
        <v>11</v>
      </c>
      <c r="D257" s="510" t="s">
        <v>11</v>
      </c>
      <c r="E257" s="35"/>
    </row>
    <row r="258" spans="1:14" s="22" customFormat="1" ht="11.5" x14ac:dyDescent="0.25">
      <c r="A258" s="358" t="s">
        <v>697</v>
      </c>
      <c r="B258" s="510" t="s">
        <v>11</v>
      </c>
      <c r="C258" s="510" t="s">
        <v>11</v>
      </c>
      <c r="D258" s="510" t="s">
        <v>11</v>
      </c>
      <c r="E258" s="35"/>
    </row>
    <row r="259" spans="1:14" s="22" customFormat="1" ht="11.5" x14ac:dyDescent="0.25">
      <c r="A259" s="354" t="s">
        <v>696</v>
      </c>
      <c r="B259" s="510" t="s">
        <v>11</v>
      </c>
      <c r="C259" s="510" t="s">
        <v>11</v>
      </c>
      <c r="D259" s="510" t="s">
        <v>11</v>
      </c>
      <c r="E259" s="35"/>
    </row>
    <row r="260" spans="1:14" s="22" customFormat="1" ht="11.5" x14ac:dyDescent="0.25">
      <c r="A260" s="354" t="s">
        <v>300</v>
      </c>
      <c r="B260" s="594">
        <v>0.87</v>
      </c>
      <c r="C260" s="510">
        <v>0.73</v>
      </c>
      <c r="D260" s="510">
        <v>0.84</v>
      </c>
      <c r="E260" s="35"/>
    </row>
    <row r="261" spans="1:14" s="22" customFormat="1" ht="11.5" x14ac:dyDescent="0.25">
      <c r="A261" s="354" t="s">
        <v>303</v>
      </c>
      <c r="B261" s="510" t="s">
        <v>11</v>
      </c>
      <c r="C261" s="510">
        <v>0.82</v>
      </c>
      <c r="D261" s="510">
        <v>0.98</v>
      </c>
      <c r="E261" s="35"/>
    </row>
    <row r="262" spans="1:14" s="22" customFormat="1" ht="11.5" x14ac:dyDescent="0.25">
      <c r="A262" s="347" t="s">
        <v>302</v>
      </c>
      <c r="B262" s="513" t="s">
        <v>11</v>
      </c>
      <c r="C262" s="513">
        <v>1.07</v>
      </c>
      <c r="D262" s="513">
        <v>0.87</v>
      </c>
      <c r="E262" s="35"/>
    </row>
    <row r="263" spans="1:14" s="22" customFormat="1" ht="42.75" customHeight="1" x14ac:dyDescent="0.25">
      <c r="A263" s="936" t="s">
        <v>1301</v>
      </c>
      <c r="B263" s="936"/>
      <c r="C263" s="936"/>
      <c r="D263" s="936"/>
      <c r="E263" s="35"/>
    </row>
    <row r="265" spans="1:14" s="62" customFormat="1" ht="30" customHeight="1" thickBot="1" x14ac:dyDescent="0.45">
      <c r="A265" s="935" t="s">
        <v>75</v>
      </c>
      <c r="B265" s="935"/>
      <c r="C265" s="935"/>
      <c r="D265" s="935"/>
      <c r="E265" s="935"/>
      <c r="F265" s="935"/>
      <c r="G265" s="935"/>
      <c r="H265" s="935"/>
      <c r="I265" s="935"/>
      <c r="J265" s="935"/>
      <c r="K265" s="935"/>
      <c r="L265" s="935"/>
      <c r="M265" s="15"/>
      <c r="N265" s="98"/>
    </row>
    <row r="266" spans="1:14" x14ac:dyDescent="0.3">
      <c r="A266" s="17" t="s">
        <v>305</v>
      </c>
    </row>
    <row r="268" spans="1:14" s="60" customFormat="1" ht="11.5" x14ac:dyDescent="0.25">
      <c r="A268" s="150" t="s">
        <v>547</v>
      </c>
      <c r="B268" s="150" t="s">
        <v>700</v>
      </c>
      <c r="C268" s="150" t="s">
        <v>701</v>
      </c>
      <c r="D268" s="150" t="s">
        <v>1084</v>
      </c>
      <c r="E268" s="74"/>
      <c r="F268" s="56"/>
    </row>
    <row r="269" spans="1:14" s="22" customFormat="1" ht="11.5" x14ac:dyDescent="0.25">
      <c r="A269" s="478" t="s">
        <v>545</v>
      </c>
      <c r="B269" s="574">
        <v>1157</v>
      </c>
      <c r="C269" s="574">
        <v>794</v>
      </c>
      <c r="D269" s="709">
        <f>Tabla4967[[#This Row],['# Employees covered by collective agreements]]/Tabla4967[[#This Row],[Total '# employees by Year End 2022]]</f>
        <v>0.68625756266205706</v>
      </c>
      <c r="E269" s="33"/>
      <c r="F269" s="35"/>
    </row>
    <row r="270" spans="1:14" s="22" customFormat="1" ht="11.5" x14ac:dyDescent="0.25">
      <c r="A270" s="478" t="s">
        <v>546</v>
      </c>
      <c r="B270" s="710">
        <v>69</v>
      </c>
      <c r="C270" s="711">
        <v>0</v>
      </c>
      <c r="D270" s="709">
        <f>Tabla4967[[#This Row],['# Employees covered by collective agreements]]/Tabla4967[[#This Row],[Total '# employees by Year End 2022]]</f>
        <v>0</v>
      </c>
      <c r="E270" s="35"/>
    </row>
    <row r="271" spans="1:14" s="22" customFormat="1" ht="12" thickBot="1" x14ac:dyDescent="0.3">
      <c r="A271" s="712" t="s">
        <v>681</v>
      </c>
      <c r="B271" s="713">
        <v>15</v>
      </c>
      <c r="C271" s="714">
        <v>0</v>
      </c>
      <c r="D271" s="715">
        <f>Tabla4967[[#This Row],['# Employees covered by collective agreements]]/Tabla4967[[#This Row],[Total '# employees by Year End 2022]]</f>
        <v>0</v>
      </c>
      <c r="E271" s="35"/>
    </row>
    <row r="272" spans="1:14" s="22" customFormat="1" ht="12" thickTop="1" x14ac:dyDescent="0.25">
      <c r="A272" s="85" t="s">
        <v>471</v>
      </c>
      <c r="B272" s="716">
        <f>SUBTOTAL(109,Tabla4967[Total '# employees by Year End 2022])</f>
        <v>1241</v>
      </c>
      <c r="C272" s="716">
        <f>SUBTOTAL(109,Tabla4967['# Employees covered by collective agreements])</f>
        <v>794</v>
      </c>
      <c r="D272" s="717">
        <f>Tabla4967[[#Totals],['# Employees covered by collective agreements]]/Tabla4967[[#Totals],[Total '# employees by Year End 2022]]</f>
        <v>0.63980660757453667</v>
      </c>
      <c r="E272" s="35"/>
    </row>
    <row r="273" spans="1:4" s="18" customFormat="1" ht="38.25" customHeight="1" x14ac:dyDescent="0.3">
      <c r="A273" s="939" t="s">
        <v>1302</v>
      </c>
      <c r="B273" s="939"/>
      <c r="C273" s="939"/>
      <c r="D273" s="939"/>
    </row>
    <row r="274" spans="1:4" ht="24" customHeight="1" x14ac:dyDescent="0.3">
      <c r="A274" s="953"/>
      <c r="B274" s="953"/>
      <c r="C274" s="953"/>
    </row>
  </sheetData>
  <mergeCells count="88">
    <mergeCell ref="A195:D195"/>
    <mergeCell ref="E195:H195"/>
    <mergeCell ref="A95:D95"/>
    <mergeCell ref="E95:H95"/>
    <mergeCell ref="I95:L95"/>
    <mergeCell ref="A182:D182"/>
    <mergeCell ref="E182:H182"/>
    <mergeCell ref="I182:L182"/>
    <mergeCell ref="A142:D142"/>
    <mergeCell ref="A161:H161"/>
    <mergeCell ref="F163:G163"/>
    <mergeCell ref="B163:C163"/>
    <mergeCell ref="A180:E180"/>
    <mergeCell ref="A1:D1"/>
    <mergeCell ref="E1:H1"/>
    <mergeCell ref="I1:L1"/>
    <mergeCell ref="A72:D72"/>
    <mergeCell ref="E72:H72"/>
    <mergeCell ref="I72:L72"/>
    <mergeCell ref="A7:E7"/>
    <mergeCell ref="A9:E9"/>
    <mergeCell ref="A11:E11"/>
    <mergeCell ref="A13:E13"/>
    <mergeCell ref="H24:L24"/>
    <mergeCell ref="A26:E26"/>
    <mergeCell ref="A28:E28"/>
    <mergeCell ref="A30:E30"/>
    <mergeCell ref="A32:E32"/>
    <mergeCell ref="A79:E79"/>
    <mergeCell ref="A94:E94"/>
    <mergeCell ref="H34:L34"/>
    <mergeCell ref="H36:L36"/>
    <mergeCell ref="A70:E70"/>
    <mergeCell ref="A34:E34"/>
    <mergeCell ref="Z70:AD70"/>
    <mergeCell ref="H70:K70"/>
    <mergeCell ref="O70:R70"/>
    <mergeCell ref="V70:Y70"/>
    <mergeCell ref="A36:E36"/>
    <mergeCell ref="A53:E53"/>
    <mergeCell ref="H53:L53"/>
    <mergeCell ref="O53:S53"/>
    <mergeCell ref="V53:Z53"/>
    <mergeCell ref="O26:S26"/>
    <mergeCell ref="O28:S28"/>
    <mergeCell ref="O30:S30"/>
    <mergeCell ref="O32:S32"/>
    <mergeCell ref="H28:L28"/>
    <mergeCell ref="H30:L30"/>
    <mergeCell ref="H32:L32"/>
    <mergeCell ref="H26:L26"/>
    <mergeCell ref="O19:S19"/>
    <mergeCell ref="H19:L19"/>
    <mergeCell ref="A15:E15"/>
    <mergeCell ref="A17:E17"/>
    <mergeCell ref="A19:E19"/>
    <mergeCell ref="N225:P225"/>
    <mergeCell ref="K225:M225"/>
    <mergeCell ref="H225:J225"/>
    <mergeCell ref="A263:D263"/>
    <mergeCell ref="V19:Z19"/>
    <mergeCell ref="V30:Z30"/>
    <mergeCell ref="V32:Z32"/>
    <mergeCell ref="V34:Z34"/>
    <mergeCell ref="V36:Z36"/>
    <mergeCell ref="A24:E24"/>
    <mergeCell ref="O34:S34"/>
    <mergeCell ref="O36:S36"/>
    <mergeCell ref="V24:Z24"/>
    <mergeCell ref="V26:Z26"/>
    <mergeCell ref="V28:Z28"/>
    <mergeCell ref="O24:S24"/>
    <mergeCell ref="A274:C274"/>
    <mergeCell ref="B185:D185"/>
    <mergeCell ref="E185:G185"/>
    <mergeCell ref="H185:J185"/>
    <mergeCell ref="L198:M198"/>
    <mergeCell ref="J198:K198"/>
    <mergeCell ref="A273:D273"/>
    <mergeCell ref="B225:E225"/>
    <mergeCell ref="A252:D252"/>
    <mergeCell ref="E252:H252"/>
    <mergeCell ref="I252:L252"/>
    <mergeCell ref="A265:D265"/>
    <mergeCell ref="I195:L195"/>
    <mergeCell ref="E265:H265"/>
    <mergeCell ref="I265:L265"/>
    <mergeCell ref="H198:I198"/>
  </mergeCells>
  <pageMargins left="0.7" right="0.7" top="0.75" bottom="0.75" header="0.3" footer="0.3"/>
  <pageSetup orientation="portrait" r:id="rId1"/>
  <drawing r:id="rId2"/>
  <tableParts count="9">
    <tablePart r:id="rId3"/>
    <tablePart r:id="rId4"/>
    <tablePart r:id="rId5"/>
    <tablePart r:id="rId6"/>
    <tablePart r:id="rId7"/>
    <tablePart r:id="rId8"/>
    <tablePart r:id="rId9"/>
    <tablePart r:id="rId10"/>
    <tablePart r:id="rId1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3A682-AF02-41D2-8F3A-ED3F573D6C94}">
  <dimension ref="A1:L28"/>
  <sheetViews>
    <sheetView showGridLines="0" zoomScale="90" zoomScaleNormal="90" workbookViewId="0">
      <selection activeCell="A5" sqref="A5"/>
    </sheetView>
  </sheetViews>
  <sheetFormatPr defaultColWidth="11.453125" defaultRowHeight="14" x14ac:dyDescent="0.3"/>
  <cols>
    <col min="1" max="1" width="83.1796875" style="37" customWidth="1"/>
    <col min="2" max="2" width="64.1796875" style="37" customWidth="1"/>
    <col min="3" max="3" width="78.81640625" style="37" customWidth="1"/>
    <col min="4" max="16384" width="11.453125" style="37"/>
  </cols>
  <sheetData>
    <row r="1" spans="1:12" ht="20.149999999999999" customHeight="1" thickBot="1" x14ac:dyDescent="0.4">
      <c r="A1" s="935" t="s">
        <v>957</v>
      </c>
      <c r="B1" s="935"/>
      <c r="C1" s="935"/>
      <c r="D1" s="935"/>
      <c r="E1" s="935"/>
      <c r="F1" s="935"/>
      <c r="G1" s="935"/>
      <c r="H1" s="935"/>
      <c r="I1" s="935"/>
      <c r="J1" s="935"/>
      <c r="K1" s="935"/>
      <c r="L1" s="935"/>
    </row>
    <row r="2" spans="1:12" s="46" customFormat="1" x14ac:dyDescent="0.3">
      <c r="A2" s="17" t="s">
        <v>773</v>
      </c>
    </row>
    <row r="4" spans="1:12" s="18" customFormat="1" x14ac:dyDescent="0.3">
      <c r="A4" s="718"/>
      <c r="B4" s="432" t="s">
        <v>774</v>
      </c>
      <c r="C4" s="432" t="s">
        <v>464</v>
      </c>
      <c r="D4" s="984" t="s">
        <v>472</v>
      </c>
      <c r="E4" s="985"/>
    </row>
    <row r="5" spans="1:12" s="18" customFormat="1" x14ac:dyDescent="0.3">
      <c r="A5" s="719" t="s">
        <v>306</v>
      </c>
      <c r="B5" s="525" t="s">
        <v>307</v>
      </c>
      <c r="C5" s="525" t="s">
        <v>308</v>
      </c>
      <c r="D5" s="975" t="s">
        <v>11</v>
      </c>
      <c r="E5" s="976"/>
    </row>
    <row r="6" spans="1:12" s="18" customFormat="1" x14ac:dyDescent="0.3">
      <c r="A6" s="720" t="s">
        <v>1006</v>
      </c>
      <c r="B6" s="721">
        <v>38</v>
      </c>
      <c r="C6" s="721">
        <v>19</v>
      </c>
      <c r="D6" s="951" t="s">
        <v>11</v>
      </c>
      <c r="E6" s="981"/>
    </row>
    <row r="7" spans="1:12" s="18" customFormat="1" x14ac:dyDescent="0.3">
      <c r="A7" s="719" t="s">
        <v>309</v>
      </c>
      <c r="B7" s="722">
        <v>127</v>
      </c>
      <c r="C7" s="722">
        <v>84</v>
      </c>
      <c r="D7" s="975" t="s">
        <v>11</v>
      </c>
      <c r="E7" s="976"/>
    </row>
    <row r="8" spans="1:12" s="18" customFormat="1" x14ac:dyDescent="0.3">
      <c r="A8" s="720" t="s">
        <v>310</v>
      </c>
      <c r="B8" s="951" t="s">
        <v>311</v>
      </c>
      <c r="C8" s="951"/>
      <c r="D8" s="951" t="s">
        <v>11</v>
      </c>
      <c r="E8" s="981"/>
    </row>
    <row r="9" spans="1:12" s="18" customFormat="1" ht="23.25" customHeight="1" x14ac:dyDescent="0.3">
      <c r="A9" s="982" t="s">
        <v>312</v>
      </c>
      <c r="B9" s="983" t="s">
        <v>1303</v>
      </c>
      <c r="C9" s="983"/>
      <c r="D9" s="975" t="s">
        <v>11</v>
      </c>
      <c r="E9" s="976"/>
    </row>
    <row r="10" spans="1:12" s="18" customFormat="1" x14ac:dyDescent="0.3">
      <c r="A10" s="982"/>
      <c r="B10" s="983" t="s">
        <v>1304</v>
      </c>
      <c r="C10" s="983"/>
      <c r="D10" s="975"/>
      <c r="E10" s="976"/>
    </row>
    <row r="11" spans="1:12" s="18" customFormat="1" x14ac:dyDescent="0.3">
      <c r="A11" s="982"/>
      <c r="B11" s="983" t="s">
        <v>1305</v>
      </c>
      <c r="C11" s="983"/>
      <c r="D11" s="975"/>
      <c r="E11" s="976"/>
    </row>
    <row r="12" spans="1:12" s="18" customFormat="1" x14ac:dyDescent="0.3">
      <c r="A12" s="982"/>
      <c r="B12" s="983" t="s">
        <v>1306</v>
      </c>
      <c r="C12" s="983"/>
      <c r="D12" s="975"/>
      <c r="E12" s="976"/>
    </row>
    <row r="13" spans="1:12" s="18" customFormat="1" x14ac:dyDescent="0.3">
      <c r="A13" s="723" t="s">
        <v>313</v>
      </c>
      <c r="B13" s="724"/>
      <c r="C13" s="724"/>
      <c r="D13" s="951" t="s">
        <v>11</v>
      </c>
      <c r="E13" s="981"/>
    </row>
    <row r="14" spans="1:12" s="18" customFormat="1" x14ac:dyDescent="0.3">
      <c r="A14" s="980" t="s">
        <v>92</v>
      </c>
      <c r="B14" s="481" t="s">
        <v>775</v>
      </c>
      <c r="C14" s="481" t="s">
        <v>777</v>
      </c>
      <c r="D14" s="951"/>
      <c r="E14" s="981"/>
    </row>
    <row r="15" spans="1:12" s="18" customFormat="1" x14ac:dyDescent="0.3">
      <c r="A15" s="980"/>
      <c r="B15" s="481" t="s">
        <v>776</v>
      </c>
      <c r="C15" s="481" t="s">
        <v>776</v>
      </c>
      <c r="D15" s="951"/>
      <c r="E15" s="981"/>
    </row>
    <row r="16" spans="1:12" s="18" customFormat="1" x14ac:dyDescent="0.3">
      <c r="A16" s="980" t="s">
        <v>778</v>
      </c>
      <c r="B16" s="481" t="s">
        <v>775</v>
      </c>
      <c r="C16" s="481" t="s">
        <v>775</v>
      </c>
      <c r="D16" s="951"/>
      <c r="E16" s="981"/>
    </row>
    <row r="17" spans="1:5" s="18" customFormat="1" x14ac:dyDescent="0.3">
      <c r="A17" s="980"/>
      <c r="B17" s="481" t="s">
        <v>776</v>
      </c>
      <c r="C17" s="481" t="s">
        <v>776</v>
      </c>
      <c r="D17" s="951"/>
      <c r="E17" s="981"/>
    </row>
    <row r="18" spans="1:5" s="18" customFormat="1" x14ac:dyDescent="0.3">
      <c r="A18" s="980" t="s">
        <v>93</v>
      </c>
      <c r="B18" s="481" t="s">
        <v>779</v>
      </c>
      <c r="C18" s="481" t="s">
        <v>779</v>
      </c>
      <c r="D18" s="951"/>
      <c r="E18" s="981"/>
    </row>
    <row r="19" spans="1:5" s="18" customFormat="1" x14ac:dyDescent="0.3">
      <c r="A19" s="980"/>
      <c r="B19" s="481" t="s">
        <v>780</v>
      </c>
      <c r="C19" s="481" t="s">
        <v>780</v>
      </c>
      <c r="D19" s="951"/>
      <c r="E19" s="981"/>
    </row>
    <row r="20" spans="1:5" s="18" customFormat="1" x14ac:dyDescent="0.3">
      <c r="A20" s="980" t="s">
        <v>94</v>
      </c>
      <c r="B20" s="481" t="s">
        <v>775</v>
      </c>
      <c r="C20" s="481" t="s">
        <v>781</v>
      </c>
      <c r="D20" s="951"/>
      <c r="E20" s="981"/>
    </row>
    <row r="21" spans="1:5" s="18" customFormat="1" x14ac:dyDescent="0.3">
      <c r="A21" s="980"/>
      <c r="B21" s="481" t="s">
        <v>776</v>
      </c>
      <c r="C21" s="481" t="s">
        <v>776</v>
      </c>
      <c r="D21" s="951"/>
      <c r="E21" s="981"/>
    </row>
    <row r="22" spans="1:5" s="18" customFormat="1" x14ac:dyDescent="0.3">
      <c r="A22" s="980" t="s">
        <v>95</v>
      </c>
      <c r="B22" s="481" t="s">
        <v>782</v>
      </c>
      <c r="C22" s="481" t="s">
        <v>783</v>
      </c>
      <c r="D22" s="951"/>
      <c r="E22" s="981"/>
    </row>
    <row r="23" spans="1:5" s="18" customFormat="1" x14ac:dyDescent="0.3">
      <c r="A23" s="980"/>
      <c r="B23" s="481" t="s">
        <v>776</v>
      </c>
      <c r="C23" s="481" t="s">
        <v>776</v>
      </c>
      <c r="D23" s="951"/>
      <c r="E23" s="981"/>
    </row>
    <row r="24" spans="1:5" s="18" customFormat="1" x14ac:dyDescent="0.3">
      <c r="A24" s="719" t="s">
        <v>314</v>
      </c>
      <c r="B24" s="975" t="s">
        <v>315</v>
      </c>
      <c r="C24" s="975"/>
      <c r="D24" s="975" t="s">
        <v>11</v>
      </c>
      <c r="E24" s="976"/>
    </row>
    <row r="25" spans="1:5" s="18" customFormat="1" x14ac:dyDescent="0.3">
      <c r="A25" s="608" t="s">
        <v>316</v>
      </c>
      <c r="B25" s="977" t="s">
        <v>317</v>
      </c>
      <c r="C25" s="977"/>
      <c r="D25" s="977" t="s">
        <v>11</v>
      </c>
      <c r="E25" s="978"/>
    </row>
    <row r="26" spans="1:5" s="18" customFormat="1" x14ac:dyDescent="0.3">
      <c r="A26" s="979" t="s">
        <v>784</v>
      </c>
      <c r="B26" s="951"/>
      <c r="C26" s="951"/>
      <c r="D26" s="951"/>
      <c r="E26" s="974"/>
    </row>
    <row r="27" spans="1:5" s="18" customFormat="1" x14ac:dyDescent="0.3">
      <c r="A27" s="951" t="s">
        <v>785</v>
      </c>
      <c r="B27" s="951"/>
      <c r="C27" s="951"/>
      <c r="D27" s="951"/>
      <c r="E27" s="974"/>
    </row>
    <row r="28" spans="1:5" s="18" customFormat="1" x14ac:dyDescent="0.3"/>
  </sheetData>
  <mergeCells count="33">
    <mergeCell ref="I1:L1"/>
    <mergeCell ref="B8:C8"/>
    <mergeCell ref="D8:E8"/>
    <mergeCell ref="D9:E12"/>
    <mergeCell ref="D13:E13"/>
    <mergeCell ref="D4:E4"/>
    <mergeCell ref="D5:E5"/>
    <mergeCell ref="D6:E6"/>
    <mergeCell ref="D7:E7"/>
    <mergeCell ref="A1:D1"/>
    <mergeCell ref="E1:H1"/>
    <mergeCell ref="A14:A15"/>
    <mergeCell ref="D14:E15"/>
    <mergeCell ref="A16:A17"/>
    <mergeCell ref="D16:E17"/>
    <mergeCell ref="A9:A12"/>
    <mergeCell ref="B9:C9"/>
    <mergeCell ref="B10:C10"/>
    <mergeCell ref="B11:C11"/>
    <mergeCell ref="B12:C12"/>
    <mergeCell ref="A18:A19"/>
    <mergeCell ref="D18:E19"/>
    <mergeCell ref="A20:A21"/>
    <mergeCell ref="D20:E21"/>
    <mergeCell ref="A22:A23"/>
    <mergeCell ref="D22:E23"/>
    <mergeCell ref="A27:D27"/>
    <mergeCell ref="E26:E27"/>
    <mergeCell ref="B24:C24"/>
    <mergeCell ref="D24:E24"/>
    <mergeCell ref="B25:C25"/>
    <mergeCell ref="D25:E25"/>
    <mergeCell ref="A26:D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2FCF-035C-47F9-ADA9-6996F78C63DD}">
  <dimension ref="A1:L38"/>
  <sheetViews>
    <sheetView showGridLines="0" zoomScale="90" zoomScaleNormal="90" workbookViewId="0">
      <selection activeCell="A35" sqref="A35:XFD38"/>
    </sheetView>
  </sheetViews>
  <sheetFormatPr defaultColWidth="11.453125" defaultRowHeight="14" x14ac:dyDescent="0.3"/>
  <cols>
    <col min="1" max="1" width="59.453125" style="37" customWidth="1"/>
    <col min="2" max="2" width="35.7265625" style="37" customWidth="1"/>
    <col min="3" max="3" width="54.81640625" style="37" customWidth="1"/>
    <col min="4" max="4" width="56.1796875" style="37" customWidth="1"/>
    <col min="5" max="5" width="48.26953125" style="37" bestFit="1" customWidth="1"/>
    <col min="6" max="6" width="41.453125" style="37" customWidth="1"/>
    <col min="7" max="16384" width="11.453125" style="37"/>
  </cols>
  <sheetData>
    <row r="1" spans="1:12" ht="20.149999999999999" customHeight="1" thickBot="1" x14ac:dyDescent="0.4">
      <c r="A1" s="935" t="s">
        <v>958</v>
      </c>
      <c r="B1" s="935"/>
      <c r="C1" s="935"/>
      <c r="D1" s="935"/>
      <c r="E1" s="935"/>
      <c r="F1" s="935"/>
      <c r="G1" s="935"/>
      <c r="H1" s="935"/>
      <c r="I1" s="935"/>
      <c r="J1" s="935"/>
      <c r="K1" s="935"/>
      <c r="L1" s="935"/>
    </row>
    <row r="2" spans="1:12" s="46" customFormat="1" x14ac:dyDescent="0.3">
      <c r="A2" s="17" t="s">
        <v>318</v>
      </c>
    </row>
    <row r="3" spans="1:12" x14ac:dyDescent="0.3">
      <c r="A3" s="88"/>
    </row>
    <row r="4" spans="1:12" s="60" customFormat="1" ht="11.5" x14ac:dyDescent="0.25">
      <c r="A4" s="270" t="s">
        <v>146</v>
      </c>
      <c r="B4" s="270" t="s">
        <v>959</v>
      </c>
      <c r="C4" s="270" t="s">
        <v>1085</v>
      </c>
      <c r="D4" s="270" t="s">
        <v>1086</v>
      </c>
      <c r="E4" s="56"/>
    </row>
    <row r="5" spans="1:12" s="22" customFormat="1" ht="11.5" x14ac:dyDescent="0.25">
      <c r="A5" s="646" t="s">
        <v>461</v>
      </c>
      <c r="B5" s="647">
        <v>123</v>
      </c>
      <c r="C5" s="647">
        <f>Table289[[#This Row],[New suppliers FY2022 ('#)]]</f>
        <v>123</v>
      </c>
      <c r="D5" s="725">
        <f>Table289[[#This Row],[New suppliers screened using environmental criteria ('#)]]/Table289[[#This Row],[New suppliers FY2022 ('#)]]</f>
        <v>1</v>
      </c>
      <c r="E5" s="35"/>
    </row>
    <row r="6" spans="1:12" s="22" customFormat="1" ht="11.5" x14ac:dyDescent="0.25">
      <c r="A6" s="646" t="s">
        <v>464</v>
      </c>
      <c r="B6" s="647">
        <v>146</v>
      </c>
      <c r="C6" s="647">
        <f>Table289[[#This Row],[New suppliers FY2022 ('#)]]</f>
        <v>146</v>
      </c>
      <c r="D6" s="725">
        <f>Table289[[#This Row],[New suppliers screened using environmental criteria ('#)]]/Table289[[#This Row],[New suppliers FY2022 ('#)]]</f>
        <v>1</v>
      </c>
      <c r="E6" s="35"/>
    </row>
    <row r="7" spans="1:12" s="22" customFormat="1" ht="12" thickBot="1" x14ac:dyDescent="0.3">
      <c r="A7" s="726" t="s">
        <v>472</v>
      </c>
      <c r="B7" s="727">
        <v>3</v>
      </c>
      <c r="C7" s="727">
        <v>0</v>
      </c>
      <c r="D7" s="728">
        <f>Table289[[#This Row],[New suppliers screened using environmental criteria ('#)]]/Table289[[#This Row],[New suppliers FY2022 ('#)]]</f>
        <v>0</v>
      </c>
      <c r="E7" s="35"/>
    </row>
    <row r="8" spans="1:12" s="22" customFormat="1" ht="12" thickTop="1" x14ac:dyDescent="0.25">
      <c r="A8" s="23" t="s">
        <v>471</v>
      </c>
      <c r="B8" s="539">
        <f>SUBTOTAL(109,Table289[New suppliers FY2022 ('#)])</f>
        <v>272</v>
      </c>
      <c r="C8" s="539">
        <f>SUBTOTAL(109,Table289[New suppliers screened using environmental criteria ('#)])</f>
        <v>269</v>
      </c>
      <c r="D8" s="729">
        <f>Table289[[#Totals],[New suppliers screened using environmental criteria ('#)]]/Table289[[#Totals],[New suppliers FY2022 ('#)]]</f>
        <v>0.98897058823529416</v>
      </c>
    </row>
    <row r="9" spans="1:12" s="22" customFormat="1" ht="37.5" customHeight="1" x14ac:dyDescent="0.25">
      <c r="A9" s="936" t="s">
        <v>1307</v>
      </c>
      <c r="B9" s="936"/>
      <c r="C9" s="936"/>
      <c r="D9" s="936"/>
      <c r="E9" s="481"/>
    </row>
    <row r="10" spans="1:12" x14ac:dyDescent="0.3">
      <c r="A10" s="986"/>
      <c r="B10" s="986"/>
      <c r="C10" s="986"/>
    </row>
    <row r="11" spans="1:12" ht="20.149999999999999" customHeight="1" thickBot="1" x14ac:dyDescent="0.4">
      <c r="A11" s="935" t="s">
        <v>960</v>
      </c>
      <c r="B11" s="935"/>
      <c r="C11" s="935"/>
      <c r="D11" s="935"/>
      <c r="E11" s="935"/>
      <c r="F11" s="935"/>
      <c r="G11" s="935"/>
      <c r="H11" s="935"/>
      <c r="I11" s="935"/>
      <c r="J11" s="935"/>
      <c r="K11" s="935"/>
      <c r="L11" s="935"/>
    </row>
    <row r="12" spans="1:12" s="45" customFormat="1" x14ac:dyDescent="0.3">
      <c r="A12" s="17" t="s">
        <v>961</v>
      </c>
    </row>
    <row r="13" spans="1:12" x14ac:dyDescent="0.3">
      <c r="A13" s="88"/>
    </row>
    <row r="14" spans="1:12" s="60" customFormat="1" ht="11.5" x14ac:dyDescent="0.25">
      <c r="A14" s="269" t="s">
        <v>966</v>
      </c>
      <c r="B14" s="730" t="s">
        <v>967</v>
      </c>
      <c r="C14" s="71"/>
      <c r="D14" s="56"/>
    </row>
    <row r="15" spans="1:12" s="60" customFormat="1" ht="23" x14ac:dyDescent="0.25">
      <c r="A15" s="269" t="s">
        <v>962</v>
      </c>
      <c r="B15" s="730">
        <v>0</v>
      </c>
      <c r="C15" s="79"/>
      <c r="D15" s="56"/>
    </row>
    <row r="16" spans="1:12" s="60" customFormat="1" ht="23" x14ac:dyDescent="0.25">
      <c r="A16" s="269" t="s">
        <v>963</v>
      </c>
      <c r="B16" s="730" t="s">
        <v>732</v>
      </c>
      <c r="C16" s="79"/>
      <c r="D16" s="56"/>
    </row>
    <row r="17" spans="1:12" s="60" customFormat="1" ht="34.5" x14ac:dyDescent="0.25">
      <c r="A17" s="269" t="s">
        <v>964</v>
      </c>
      <c r="B17" s="731">
        <v>0</v>
      </c>
      <c r="C17" s="79"/>
      <c r="D17" s="56"/>
    </row>
    <row r="18" spans="1:12" s="60" customFormat="1" ht="34.5" x14ac:dyDescent="0.25">
      <c r="A18" s="269" t="s">
        <v>965</v>
      </c>
      <c r="B18" s="731">
        <v>0</v>
      </c>
      <c r="C18" s="79"/>
      <c r="D18" s="56"/>
    </row>
    <row r="19" spans="1:12" s="22" customFormat="1" ht="50.25" customHeight="1" x14ac:dyDescent="0.25">
      <c r="A19" s="936" t="s">
        <v>1308</v>
      </c>
      <c r="B19" s="936"/>
      <c r="C19" s="481"/>
      <c r="D19" s="481"/>
      <c r="E19" s="481"/>
    </row>
    <row r="20" spans="1:12" s="60" customFormat="1" ht="11.5" x14ac:dyDescent="0.25">
      <c r="A20" s="49"/>
      <c r="B20" s="49"/>
      <c r="C20" s="79"/>
      <c r="D20" s="79"/>
      <c r="E20" s="56"/>
    </row>
    <row r="21" spans="1:12" ht="20.149999999999999" customHeight="1" thickBot="1" x14ac:dyDescent="0.4">
      <c r="A21" s="935" t="s">
        <v>974</v>
      </c>
      <c r="B21" s="935"/>
      <c r="C21" s="935"/>
      <c r="D21" s="935"/>
      <c r="E21" s="935"/>
      <c r="F21" s="935"/>
      <c r="G21" s="935"/>
      <c r="H21" s="935"/>
      <c r="I21" s="935"/>
      <c r="J21" s="935"/>
      <c r="K21" s="935"/>
      <c r="L21" s="935"/>
    </row>
    <row r="22" spans="1:12" s="46" customFormat="1" x14ac:dyDescent="0.3">
      <c r="A22" s="17" t="s">
        <v>968</v>
      </c>
    </row>
    <row r="24" spans="1:12" s="60" customFormat="1" ht="22.5" customHeight="1" x14ac:dyDescent="0.25">
      <c r="A24" s="142" t="s">
        <v>547</v>
      </c>
      <c r="B24" s="142" t="s">
        <v>970</v>
      </c>
      <c r="C24" s="142" t="s">
        <v>971</v>
      </c>
      <c r="D24" s="142" t="s">
        <v>972</v>
      </c>
    </row>
    <row r="25" spans="1:12" s="22" customFormat="1" ht="11.5" x14ac:dyDescent="0.25">
      <c r="A25" s="358" t="s">
        <v>969</v>
      </c>
      <c r="B25" s="594">
        <v>463</v>
      </c>
      <c r="C25" s="594">
        <v>463</v>
      </c>
      <c r="D25" s="732">
        <f>Table4[[#This Row],[Active contracts with human rights and anti-corruption clauses ('#)]]/Table4[[#This Row],[Active contracts FY2022 ('#)]]</f>
        <v>1</v>
      </c>
    </row>
    <row r="26" spans="1:12" s="22" customFormat="1" ht="11.5" x14ac:dyDescent="0.25">
      <c r="A26" s="358" t="s">
        <v>546</v>
      </c>
      <c r="B26" s="594">
        <v>2</v>
      </c>
      <c r="C26" s="594">
        <v>0</v>
      </c>
      <c r="D26" s="733">
        <f>Table4[[#This Row],[Active contracts with human rights and anti-corruption clauses ('#)]]/Table4[[#This Row],[Active contracts FY2022 ('#)]]</f>
        <v>0</v>
      </c>
    </row>
    <row r="27" spans="1:12" s="22" customFormat="1" ht="12" thickBot="1" x14ac:dyDescent="0.3">
      <c r="A27" s="396" t="s">
        <v>681</v>
      </c>
      <c r="B27" s="598">
        <v>3</v>
      </c>
      <c r="C27" s="598">
        <v>3</v>
      </c>
      <c r="D27" s="734">
        <f>Table4[[#This Row],[Active contracts with human rights and anti-corruption clauses ('#)]]/Table4[[#This Row],[Active contracts FY2022 ('#)]]</f>
        <v>1</v>
      </c>
    </row>
    <row r="28" spans="1:12" s="22" customFormat="1" ht="12" thickTop="1" x14ac:dyDescent="0.25">
      <c r="A28" s="23" t="s">
        <v>471</v>
      </c>
      <c r="B28" s="539">
        <f>SUBTOTAL(109,Table4[Active contracts FY2022 ('#)])</f>
        <v>468</v>
      </c>
      <c r="C28" s="539">
        <f>SUBTOTAL(109,Table4[Active contracts with human rights and anti-corruption clauses ('#)])</f>
        <v>466</v>
      </c>
      <c r="D28" s="729">
        <f>Table4[[#Totals],[Active contracts with human rights and anti-corruption clauses ('#)]]/Table4[[#Totals],[Active contracts FY2022 ('#)]]</f>
        <v>0.99572649572649574</v>
      </c>
    </row>
    <row r="29" spans="1:12" s="22" customFormat="1" ht="27.75" customHeight="1" x14ac:dyDescent="0.25">
      <c r="A29" s="936" t="s">
        <v>1309</v>
      </c>
      <c r="B29" s="936"/>
      <c r="C29" s="936"/>
      <c r="D29" s="936"/>
      <c r="E29" s="35"/>
    </row>
    <row r="30" spans="1:12" s="60" customFormat="1" ht="11.5" x14ac:dyDescent="0.25">
      <c r="A30" s="49"/>
      <c r="B30" s="49"/>
      <c r="C30" s="49"/>
      <c r="D30" s="49"/>
      <c r="E30" s="56"/>
    </row>
    <row r="31" spans="1:12" ht="27.75" customHeight="1" thickBot="1" x14ac:dyDescent="0.4">
      <c r="A31" s="935" t="s">
        <v>1007</v>
      </c>
      <c r="B31" s="935"/>
      <c r="C31" s="935"/>
      <c r="D31" s="935"/>
      <c r="E31" s="935"/>
      <c r="F31" s="935"/>
      <c r="G31" s="935"/>
      <c r="H31" s="935"/>
      <c r="I31" s="935"/>
      <c r="J31" s="935"/>
      <c r="K31" s="935"/>
      <c r="L31" s="935"/>
    </row>
    <row r="32" spans="1:12" s="46" customFormat="1" x14ac:dyDescent="0.3">
      <c r="A32" s="17" t="s">
        <v>1008</v>
      </c>
    </row>
    <row r="34" spans="1:7" s="56" customFormat="1" ht="11.5" x14ac:dyDescent="0.25">
      <c r="A34" s="268" t="s">
        <v>547</v>
      </c>
      <c r="B34" s="268" t="s">
        <v>826</v>
      </c>
      <c r="C34" s="268" t="s">
        <v>827</v>
      </c>
      <c r="D34" s="268" t="s">
        <v>828</v>
      </c>
      <c r="E34" s="268" t="s">
        <v>829</v>
      </c>
      <c r="F34" s="268" t="s">
        <v>830</v>
      </c>
    </row>
    <row r="35" spans="1:7" s="22" customFormat="1" ht="46" x14ac:dyDescent="0.25">
      <c r="A35" s="478" t="s">
        <v>545</v>
      </c>
      <c r="B35" s="562">
        <v>2372</v>
      </c>
      <c r="C35" s="562">
        <v>21056</v>
      </c>
      <c r="D35" s="562">
        <v>52956</v>
      </c>
      <c r="E35" s="735">
        <v>22.325463743676224</v>
      </c>
      <c r="F35" s="358" t="s">
        <v>831</v>
      </c>
    </row>
    <row r="36" spans="1:7" s="22" customFormat="1" ht="11.5" x14ac:dyDescent="0.25">
      <c r="A36" s="478" t="s">
        <v>546</v>
      </c>
      <c r="B36" s="562">
        <v>110</v>
      </c>
      <c r="C36" s="478">
        <v>68</v>
      </c>
      <c r="D36" s="478">
        <v>68</v>
      </c>
      <c r="E36" s="735">
        <v>0.61818181818181817</v>
      </c>
      <c r="F36" s="358" t="s">
        <v>832</v>
      </c>
    </row>
    <row r="37" spans="1:7" s="23" customFormat="1" ht="11.5" x14ac:dyDescent="0.25">
      <c r="A37" s="480" t="s">
        <v>471</v>
      </c>
      <c r="B37" s="736">
        <f>SUBTOTAL(109,Tabla56[Contractor workforce FY2022 ('#) '[Workers who are not employees']])</f>
        <v>2482</v>
      </c>
      <c r="C37" s="736">
        <f>SUBTOTAL(109,Tabla56[Contractor workforce trained ('#)(1)])</f>
        <v>21124</v>
      </c>
      <c r="D37" s="736">
        <f>SUBTOTAL(109,Tabla56[Training hours provided ('#)])</f>
        <v>53024</v>
      </c>
      <c r="E37" s="737">
        <f>Tabla56[[#Totals],[Training hours provided ('#)]]/Tabla56[[#Totals],[Contractor workforce FY2022 ('#) '[Workers who are not employees']]]</f>
        <v>21.363416599516519</v>
      </c>
      <c r="F37" s="384"/>
      <c r="G37" s="22"/>
    </row>
    <row r="38" spans="1:7" s="18" customFormat="1" ht="29.25" customHeight="1" x14ac:dyDescent="0.3">
      <c r="A38" s="936" t="s">
        <v>1310</v>
      </c>
      <c r="B38" s="936"/>
      <c r="C38" s="936"/>
      <c r="D38" s="936"/>
      <c r="E38" s="936"/>
      <c r="F38" s="936"/>
    </row>
  </sheetData>
  <mergeCells count="17">
    <mergeCell ref="I21:L21"/>
    <mergeCell ref="A31:D31"/>
    <mergeCell ref="E31:H31"/>
    <mergeCell ref="I31:L31"/>
    <mergeCell ref="A38:F38"/>
    <mergeCell ref="A9:D9"/>
    <mergeCell ref="A19:B19"/>
    <mergeCell ref="A29:D29"/>
    <mergeCell ref="A21:D21"/>
    <mergeCell ref="E21:H21"/>
    <mergeCell ref="A1:D1"/>
    <mergeCell ref="E1:H1"/>
    <mergeCell ref="I1:L1"/>
    <mergeCell ref="A11:D11"/>
    <mergeCell ref="E11:H11"/>
    <mergeCell ref="I11:L11"/>
    <mergeCell ref="A10:C10"/>
  </mergeCells>
  <pageMargins left="0.7" right="0.7" top="0.75" bottom="0.75" header="0.3" footer="0.3"/>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434CA-6F96-4547-906E-541AFF07D60B}">
  <dimension ref="A1:L9"/>
  <sheetViews>
    <sheetView showGridLines="0" zoomScale="90" zoomScaleNormal="90" workbookViewId="0">
      <selection activeCell="A5" sqref="A5:XFD9"/>
    </sheetView>
  </sheetViews>
  <sheetFormatPr defaultColWidth="11.453125" defaultRowHeight="14.5" x14ac:dyDescent="0.35"/>
  <cols>
    <col min="1" max="1" width="45.81640625" style="2" customWidth="1"/>
    <col min="2" max="2" width="34.26953125" style="2" bestFit="1" customWidth="1"/>
    <col min="3" max="3" width="48.7265625" style="2" bestFit="1" customWidth="1"/>
    <col min="4" max="4" width="27.81640625" style="2" bestFit="1" customWidth="1"/>
    <col min="5" max="5" width="16" style="2" customWidth="1"/>
    <col min="6" max="16384" width="11.453125" style="2"/>
  </cols>
  <sheetData>
    <row r="1" spans="1:12" s="5" customFormat="1" ht="30" customHeight="1" thickBot="1" x14ac:dyDescent="0.4">
      <c r="A1" s="935" t="s">
        <v>37</v>
      </c>
      <c r="B1" s="935"/>
      <c r="C1" s="935"/>
      <c r="D1" s="935"/>
      <c r="E1" s="935"/>
      <c r="F1" s="935"/>
      <c r="G1" s="935"/>
      <c r="H1" s="935"/>
      <c r="I1" s="935"/>
      <c r="J1" s="935"/>
      <c r="K1" s="935"/>
      <c r="L1" s="935"/>
    </row>
    <row r="2" spans="1:12" s="4" customFormat="1" x14ac:dyDescent="0.35">
      <c r="A2" s="13" t="s">
        <v>319</v>
      </c>
    </row>
    <row r="4" spans="1:12" s="3" customFormat="1" ht="12" x14ac:dyDescent="0.3">
      <c r="A4" s="266" t="s">
        <v>146</v>
      </c>
      <c r="B4" s="266" t="s">
        <v>561</v>
      </c>
      <c r="C4" s="266" t="s">
        <v>565</v>
      </c>
      <c r="D4" s="266" t="s">
        <v>562</v>
      </c>
      <c r="E4" s="267" t="s">
        <v>563</v>
      </c>
    </row>
    <row r="5" spans="1:12" s="22" customFormat="1" ht="11.5" x14ac:dyDescent="0.25">
      <c r="A5" s="478" t="s">
        <v>461</v>
      </c>
      <c r="B5" s="495">
        <v>116</v>
      </c>
      <c r="C5" s="495">
        <v>116</v>
      </c>
      <c r="D5" s="739">
        <f>C5/B5</f>
        <v>1</v>
      </c>
      <c r="E5" s="511" t="s">
        <v>564</v>
      </c>
    </row>
    <row r="6" spans="1:12" s="22" customFormat="1" ht="11.5" x14ac:dyDescent="0.25">
      <c r="A6" s="478" t="s">
        <v>464</v>
      </c>
      <c r="B6" s="495">
        <f>135+26</f>
        <v>161</v>
      </c>
      <c r="C6" s="495">
        <f>103+26</f>
        <v>129</v>
      </c>
      <c r="D6" s="739">
        <f>C6/B6</f>
        <v>0.80124223602484468</v>
      </c>
      <c r="E6" s="511" t="s">
        <v>564</v>
      </c>
    </row>
    <row r="7" spans="1:12" s="22" customFormat="1" ht="12" thickBot="1" x14ac:dyDescent="0.3">
      <c r="A7" s="712" t="s">
        <v>472</v>
      </c>
      <c r="B7" s="596">
        <v>0</v>
      </c>
      <c r="C7" s="596">
        <v>0</v>
      </c>
      <c r="D7" s="740" t="s">
        <v>11</v>
      </c>
      <c r="E7" s="741" t="s">
        <v>11</v>
      </c>
    </row>
    <row r="8" spans="1:12" s="745" customFormat="1" ht="12" thickTop="1" x14ac:dyDescent="0.25">
      <c r="A8" s="742" t="s">
        <v>471</v>
      </c>
      <c r="B8" s="743">
        <f>SUBTOTAL(109,Tabla5108[Security personnel at site FY2022 ('#) (1)])</f>
        <v>277</v>
      </c>
      <c r="C8" s="743">
        <f>SUBTOTAL(109,Tabla5108[Security personnel who have received formal training ('#)(2)])</f>
        <v>245</v>
      </c>
      <c r="D8" s="744">
        <f>Tabla5108[[#Totals],[Security personnel who have received formal training ('#)(2)]]/Tabla5108[[#Totals],[Security personnel at site FY2022 ('#) (1)]]</f>
        <v>0.8844765342960289</v>
      </c>
      <c r="E8" s="743"/>
    </row>
    <row r="9" spans="1:12" s="22" customFormat="1" ht="42" customHeight="1" x14ac:dyDescent="0.25">
      <c r="A9" s="936" t="s">
        <v>1311</v>
      </c>
      <c r="B9" s="936"/>
      <c r="C9" s="936"/>
      <c r="D9" s="936"/>
      <c r="E9" s="936"/>
    </row>
  </sheetData>
  <mergeCells count="4">
    <mergeCell ref="A9:E9"/>
    <mergeCell ref="A1:D1"/>
    <mergeCell ref="E1:H1"/>
    <mergeCell ref="I1:L1"/>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28F2-F6C4-4D6E-87FA-64A0B95BE20F}">
  <dimension ref="A1:L110"/>
  <sheetViews>
    <sheetView showGridLines="0" zoomScale="90" zoomScaleNormal="90" workbookViewId="0">
      <selection activeCell="F100" sqref="F100"/>
    </sheetView>
  </sheetViews>
  <sheetFormatPr defaultColWidth="11.453125" defaultRowHeight="14.5" x14ac:dyDescent="0.35"/>
  <cols>
    <col min="1" max="1" width="63.7265625" style="37" customWidth="1"/>
    <col min="2" max="2" width="86.1796875" style="37" customWidth="1"/>
    <col min="3" max="3" width="34" style="37" customWidth="1"/>
    <col min="4" max="4" width="31.26953125" style="37" customWidth="1"/>
    <col min="5" max="5" width="28.26953125" style="37" customWidth="1"/>
    <col min="6" max="6" width="40.1796875" style="37" customWidth="1"/>
    <col min="7" max="7" width="115.81640625" style="2" customWidth="1"/>
    <col min="8" max="8" width="15.81640625" style="2" customWidth="1"/>
    <col min="9" max="9" width="16.26953125" style="2" customWidth="1"/>
    <col min="10" max="10" width="9.81640625" style="2" bestFit="1" customWidth="1"/>
    <col min="11" max="11" width="8" style="2" customWidth="1"/>
    <col min="12" max="16384" width="11.453125" style="2"/>
  </cols>
  <sheetData>
    <row r="1" spans="1:12" s="5" customFormat="1" ht="30" customHeight="1" thickBot="1" x14ac:dyDescent="0.4">
      <c r="A1" s="935" t="s">
        <v>1153</v>
      </c>
      <c r="B1" s="935"/>
      <c r="C1" s="935"/>
      <c r="D1" s="935"/>
      <c r="E1" s="935"/>
      <c r="F1" s="935"/>
      <c r="G1" s="935"/>
      <c r="H1" s="935"/>
      <c r="I1" s="935"/>
      <c r="J1" s="935"/>
      <c r="K1" s="935"/>
      <c r="L1" s="935"/>
    </row>
    <row r="2" spans="1:12" s="4" customFormat="1" x14ac:dyDescent="0.35">
      <c r="A2" s="17" t="s">
        <v>320</v>
      </c>
      <c r="B2" s="46"/>
      <c r="C2" s="46"/>
      <c r="D2" s="46"/>
      <c r="E2" s="46"/>
      <c r="F2" s="46"/>
    </row>
    <row r="4" spans="1:12" s="10" customFormat="1" ht="12" x14ac:dyDescent="0.3">
      <c r="A4" s="144" t="s">
        <v>788</v>
      </c>
      <c r="B4" s="463" t="s">
        <v>548</v>
      </c>
      <c r="C4" s="463" t="s">
        <v>331</v>
      </c>
      <c r="D4" s="144" t="s">
        <v>330</v>
      </c>
      <c r="E4" s="73"/>
      <c r="F4" s="58"/>
      <c r="G4" s="6"/>
      <c r="H4" s="6"/>
    </row>
    <row r="5" spans="1:12" s="8" customFormat="1" ht="12" x14ac:dyDescent="0.3">
      <c r="A5" s="337" t="s">
        <v>471</v>
      </c>
      <c r="B5" s="339"/>
      <c r="C5" s="339"/>
      <c r="D5" s="293"/>
      <c r="E5" s="71"/>
      <c r="F5" s="72"/>
      <c r="G5" s="11"/>
      <c r="H5" s="11"/>
    </row>
    <row r="6" spans="1:12" s="768" customFormat="1" ht="12" x14ac:dyDescent="0.3">
      <c r="A6" s="764" t="s">
        <v>789</v>
      </c>
      <c r="B6" s="765">
        <f>B15+B24</f>
        <v>407.78329775000003</v>
      </c>
      <c r="C6" s="766">
        <f>C15</f>
        <v>335.7</v>
      </c>
      <c r="D6" s="766">
        <f>D15</f>
        <v>242.8</v>
      </c>
      <c r="E6" s="644"/>
      <c r="F6" s="32"/>
      <c r="G6" s="767"/>
      <c r="H6" s="767"/>
    </row>
    <row r="7" spans="1:12" s="768" customFormat="1" ht="12" x14ac:dyDescent="0.3">
      <c r="A7" s="764" t="s">
        <v>790</v>
      </c>
      <c r="B7" s="765">
        <f t="shared" ref="B7:B12" si="0">B16+B25</f>
        <v>386.68249423999998</v>
      </c>
      <c r="C7" s="766">
        <f t="shared" ref="C7:C13" si="1">C16</f>
        <v>285.89999999999998</v>
      </c>
      <c r="D7" s="766">
        <f t="shared" ref="D7:D13" si="2">D16</f>
        <v>198.39999999999998</v>
      </c>
      <c r="E7" s="769"/>
      <c r="F7" s="32"/>
      <c r="G7" s="767"/>
      <c r="H7" s="767"/>
    </row>
    <row r="8" spans="1:12" s="772" customFormat="1" ht="12" x14ac:dyDescent="0.3">
      <c r="A8" s="770" t="s">
        <v>791</v>
      </c>
      <c r="B8" s="378">
        <f t="shared" si="0"/>
        <v>289.26456377</v>
      </c>
      <c r="C8" s="379">
        <f t="shared" si="1"/>
        <v>203.5</v>
      </c>
      <c r="D8" s="379">
        <f t="shared" si="2"/>
        <v>144.19999999999999</v>
      </c>
      <c r="E8" s="771"/>
      <c r="F8" s="22"/>
      <c r="G8" s="738"/>
      <c r="H8" s="738"/>
    </row>
    <row r="9" spans="1:12" s="772" customFormat="1" ht="12" x14ac:dyDescent="0.3">
      <c r="A9" s="770" t="s">
        <v>792</v>
      </c>
      <c r="B9" s="378">
        <f t="shared" si="0"/>
        <v>59.171119069999996</v>
      </c>
      <c r="C9" s="379">
        <f t="shared" si="1"/>
        <v>47.4</v>
      </c>
      <c r="D9" s="379">
        <f t="shared" si="2"/>
        <v>35.799999999999997</v>
      </c>
      <c r="E9" s="771"/>
      <c r="F9" s="22"/>
      <c r="G9" s="738"/>
      <c r="H9" s="738"/>
    </row>
    <row r="10" spans="1:12" s="772" customFormat="1" ht="12" x14ac:dyDescent="0.3">
      <c r="A10" s="770" t="s">
        <v>793</v>
      </c>
      <c r="B10" s="378">
        <f t="shared" si="0"/>
        <v>1</v>
      </c>
      <c r="C10" s="379">
        <f t="shared" si="1"/>
        <v>0</v>
      </c>
      <c r="D10" s="379">
        <f t="shared" si="2"/>
        <v>0</v>
      </c>
      <c r="E10" s="771"/>
      <c r="F10" s="22"/>
      <c r="G10" s="738"/>
      <c r="H10" s="738"/>
    </row>
    <row r="11" spans="1:12" s="772" customFormat="1" ht="12" x14ac:dyDescent="0.3">
      <c r="A11" s="770" t="s">
        <v>794</v>
      </c>
      <c r="B11" s="378">
        <f t="shared" si="0"/>
        <v>34.516234080000004</v>
      </c>
      <c r="C11" s="379">
        <f t="shared" si="1"/>
        <v>32</v>
      </c>
      <c r="D11" s="379">
        <f t="shared" si="2"/>
        <v>16.7</v>
      </c>
      <c r="E11" s="771"/>
      <c r="F11" s="22"/>
      <c r="G11" s="738"/>
      <c r="H11" s="738"/>
    </row>
    <row r="12" spans="1:12" s="772" customFormat="1" ht="12" x14ac:dyDescent="0.3">
      <c r="A12" s="770" t="s">
        <v>795</v>
      </c>
      <c r="B12" s="378">
        <f t="shared" si="0"/>
        <v>2.7305773200000001</v>
      </c>
      <c r="C12" s="379">
        <f t="shared" si="1"/>
        <v>3</v>
      </c>
      <c r="D12" s="379">
        <f t="shared" si="2"/>
        <v>1.7</v>
      </c>
      <c r="E12" s="771"/>
      <c r="F12" s="22"/>
      <c r="G12" s="738"/>
      <c r="H12" s="738"/>
    </row>
    <row r="13" spans="1:12" s="768" customFormat="1" ht="12" x14ac:dyDescent="0.3">
      <c r="A13" s="764" t="s">
        <v>796</v>
      </c>
      <c r="B13" s="765">
        <f>B22+B31</f>
        <v>21.100803510000013</v>
      </c>
      <c r="C13" s="766">
        <f t="shared" si="1"/>
        <v>49.800000000000011</v>
      </c>
      <c r="D13" s="766">
        <f t="shared" si="2"/>
        <v>44.400000000000034</v>
      </c>
      <c r="E13" s="644"/>
      <c r="F13" s="32"/>
      <c r="G13" s="767"/>
      <c r="H13" s="767"/>
    </row>
    <row r="14" spans="1:12" s="8" customFormat="1" ht="12" x14ac:dyDescent="0.3">
      <c r="A14" s="337" t="s">
        <v>545</v>
      </c>
      <c r="B14" s="746"/>
      <c r="C14" s="746"/>
      <c r="D14" s="747"/>
      <c r="E14" s="71"/>
      <c r="F14" s="72"/>
      <c r="G14" s="11"/>
      <c r="H14" s="11"/>
    </row>
    <row r="15" spans="1:12" s="768" customFormat="1" ht="12" x14ac:dyDescent="0.3">
      <c r="A15" s="764" t="s">
        <v>789</v>
      </c>
      <c r="B15" s="765">
        <v>331.8</v>
      </c>
      <c r="C15" s="765">
        <v>335.7</v>
      </c>
      <c r="D15" s="766">
        <v>242.8</v>
      </c>
      <c r="E15" s="644"/>
      <c r="F15" s="32"/>
      <c r="G15" s="767"/>
      <c r="H15" s="767"/>
    </row>
    <row r="16" spans="1:12" s="768" customFormat="1" ht="12" x14ac:dyDescent="0.3">
      <c r="A16" s="764" t="s">
        <v>790</v>
      </c>
      <c r="B16" s="766">
        <f>SUM(B17:B21)</f>
        <v>323.8</v>
      </c>
      <c r="C16" s="766">
        <f>SUM(C17:C21)</f>
        <v>285.89999999999998</v>
      </c>
      <c r="D16" s="766">
        <f>SUM(D17:D21)</f>
        <v>198.39999999999998</v>
      </c>
      <c r="E16" s="644"/>
      <c r="F16" s="32"/>
      <c r="G16" s="767"/>
      <c r="H16" s="767"/>
    </row>
    <row r="17" spans="1:8" s="772" customFormat="1" ht="12" x14ac:dyDescent="0.3">
      <c r="A17" s="770" t="s">
        <v>791</v>
      </c>
      <c r="B17" s="378">
        <v>242.7</v>
      </c>
      <c r="C17" s="378">
        <f>59.2+124.2+2+18.1</f>
        <v>203.5</v>
      </c>
      <c r="D17" s="379">
        <f>35.5+99.5+3.1+6.1</f>
        <v>144.19999999999999</v>
      </c>
      <c r="E17" s="35"/>
      <c r="F17" s="22"/>
      <c r="G17" s="738"/>
      <c r="H17" s="738"/>
    </row>
    <row r="18" spans="1:8" s="772" customFormat="1" ht="12" x14ac:dyDescent="0.3">
      <c r="A18" s="770" t="s">
        <v>792</v>
      </c>
      <c r="B18" s="378">
        <v>46.3</v>
      </c>
      <c r="C18" s="378">
        <v>47.4</v>
      </c>
      <c r="D18" s="379">
        <v>35.799999999999997</v>
      </c>
      <c r="E18" s="35"/>
      <c r="F18" s="22"/>
      <c r="G18" s="738"/>
      <c r="H18" s="738"/>
    </row>
    <row r="19" spans="1:8" s="772" customFormat="1" ht="12" x14ac:dyDescent="0.3">
      <c r="A19" s="770" t="s">
        <v>793</v>
      </c>
      <c r="B19" s="378">
        <v>1</v>
      </c>
      <c r="C19" s="378">
        <v>0</v>
      </c>
      <c r="D19" s="379">
        <v>0</v>
      </c>
      <c r="E19" s="35"/>
      <c r="F19" s="22"/>
      <c r="G19" s="738"/>
      <c r="H19" s="738"/>
    </row>
    <row r="20" spans="1:8" s="772" customFormat="1" ht="12" x14ac:dyDescent="0.3">
      <c r="A20" s="770" t="s">
        <v>794</v>
      </c>
      <c r="B20" s="378">
        <v>31.1</v>
      </c>
      <c r="C20" s="378">
        <v>32</v>
      </c>
      <c r="D20" s="379">
        <v>16.7</v>
      </c>
      <c r="E20" s="35"/>
      <c r="F20" s="22"/>
      <c r="G20" s="738"/>
      <c r="H20" s="738"/>
    </row>
    <row r="21" spans="1:8" s="772" customFormat="1" ht="12" x14ac:dyDescent="0.3">
      <c r="A21" s="770" t="s">
        <v>795</v>
      </c>
      <c r="B21" s="378">
        <v>2.7</v>
      </c>
      <c r="C21" s="378">
        <v>3</v>
      </c>
      <c r="D21" s="379">
        <v>1.7</v>
      </c>
      <c r="E21" s="35"/>
      <c r="F21" s="22"/>
      <c r="G21" s="738"/>
      <c r="H21" s="738"/>
    </row>
    <row r="22" spans="1:8" s="768" customFormat="1" ht="12" x14ac:dyDescent="0.3">
      <c r="A22" s="764" t="s">
        <v>796</v>
      </c>
      <c r="B22" s="766">
        <f>B15-B16</f>
        <v>8</v>
      </c>
      <c r="C22" s="766">
        <f>C15-C16</f>
        <v>49.800000000000011</v>
      </c>
      <c r="D22" s="766">
        <f>D15-D16</f>
        <v>44.400000000000034</v>
      </c>
      <c r="E22" s="644"/>
      <c r="F22" s="32"/>
      <c r="G22" s="767"/>
      <c r="H22" s="767"/>
    </row>
    <row r="23" spans="1:8" s="8" customFormat="1" ht="12" x14ac:dyDescent="0.3">
      <c r="A23" s="337" t="s">
        <v>546</v>
      </c>
      <c r="B23" s="746"/>
      <c r="C23" s="746"/>
      <c r="D23" s="747"/>
      <c r="E23" s="71"/>
      <c r="F23" s="72"/>
      <c r="G23" s="11"/>
      <c r="H23" s="11"/>
    </row>
    <row r="24" spans="1:8" s="768" customFormat="1" ht="12" x14ac:dyDescent="0.3">
      <c r="A24" s="764" t="s">
        <v>789</v>
      </c>
      <c r="B24" s="773">
        <f>75983297.75/1000000</f>
        <v>75.983297750000006</v>
      </c>
      <c r="C24" s="766" t="s">
        <v>11</v>
      </c>
      <c r="D24" s="766" t="s">
        <v>11</v>
      </c>
      <c r="E24" s="644"/>
      <c r="F24" s="32"/>
      <c r="G24" s="767"/>
      <c r="H24" s="767"/>
    </row>
    <row r="25" spans="1:8" s="768" customFormat="1" ht="12" x14ac:dyDescent="0.3">
      <c r="A25" s="764" t="s">
        <v>790</v>
      </c>
      <c r="B25" s="773">
        <f>SUM(B26:B30)</f>
        <v>62.882494239999993</v>
      </c>
      <c r="C25" s="766" t="s">
        <v>11</v>
      </c>
      <c r="D25" s="766" t="s">
        <v>11</v>
      </c>
      <c r="E25" s="644"/>
      <c r="F25" s="32"/>
      <c r="G25" s="767"/>
      <c r="H25" s="767"/>
    </row>
    <row r="26" spans="1:8" s="772" customFormat="1" ht="12" x14ac:dyDescent="0.3">
      <c r="A26" s="770" t="s">
        <v>791</v>
      </c>
      <c r="B26" s="774">
        <f>(59466260.16-12871119.07-30577.32)/1000000</f>
        <v>46.564563769999992</v>
      </c>
      <c r="C26" s="379" t="s">
        <v>11</v>
      </c>
      <c r="D26" s="379" t="s">
        <v>11</v>
      </c>
      <c r="E26" s="35"/>
      <c r="F26" s="22"/>
      <c r="G26" s="738"/>
      <c r="H26" s="738"/>
    </row>
    <row r="27" spans="1:8" s="772" customFormat="1" ht="12" x14ac:dyDescent="0.3">
      <c r="A27" s="770" t="s">
        <v>792</v>
      </c>
      <c r="B27" s="774">
        <f>12871119.07/1000000</f>
        <v>12.871119070000001</v>
      </c>
      <c r="C27" s="379" t="s">
        <v>11</v>
      </c>
      <c r="D27" s="379" t="s">
        <v>11</v>
      </c>
      <c r="E27" s="35"/>
      <c r="F27" s="22"/>
      <c r="G27" s="738"/>
      <c r="H27" s="738"/>
    </row>
    <row r="28" spans="1:8" s="772" customFormat="1" ht="12" x14ac:dyDescent="0.3">
      <c r="A28" s="770" t="s">
        <v>793</v>
      </c>
      <c r="B28" s="774">
        <v>0</v>
      </c>
      <c r="C28" s="379" t="s">
        <v>11</v>
      </c>
      <c r="D28" s="379" t="s">
        <v>11</v>
      </c>
      <c r="E28" s="35"/>
      <c r="F28" s="22"/>
      <c r="G28" s="738"/>
      <c r="H28" s="738"/>
    </row>
    <row r="29" spans="1:8" s="772" customFormat="1" ht="12" x14ac:dyDescent="0.3">
      <c r="A29" s="770" t="s">
        <v>794</v>
      </c>
      <c r="B29" s="774">
        <f>3416234.08/1000000</f>
        <v>3.4162340800000002</v>
      </c>
      <c r="C29" s="379" t="s">
        <v>11</v>
      </c>
      <c r="D29" s="379" t="s">
        <v>11</v>
      </c>
      <c r="E29" s="35"/>
      <c r="F29" s="22"/>
      <c r="G29" s="738"/>
      <c r="H29" s="738"/>
    </row>
    <row r="30" spans="1:8" s="772" customFormat="1" ht="12" x14ac:dyDescent="0.3">
      <c r="A30" s="770" t="s">
        <v>795</v>
      </c>
      <c r="B30" s="774">
        <f>30577.32/1000000</f>
        <v>3.0577319999999998E-2</v>
      </c>
      <c r="C30" s="379" t="s">
        <v>11</v>
      </c>
      <c r="D30" s="379" t="s">
        <v>11</v>
      </c>
      <c r="E30" s="35"/>
      <c r="F30" s="22"/>
      <c r="G30" s="738"/>
      <c r="H30" s="738"/>
    </row>
    <row r="31" spans="1:8" s="768" customFormat="1" ht="12" x14ac:dyDescent="0.3">
      <c r="A31" s="688" t="s">
        <v>796</v>
      </c>
      <c r="B31" s="775">
        <f>B24-B25</f>
        <v>13.100803510000013</v>
      </c>
      <c r="C31" s="776" t="s">
        <v>11</v>
      </c>
      <c r="D31" s="776" t="s">
        <v>11</v>
      </c>
      <c r="E31" s="644"/>
      <c r="F31" s="32"/>
      <c r="G31" s="767"/>
      <c r="H31" s="767"/>
    </row>
    <row r="32" spans="1:8" s="772" customFormat="1" ht="115.5" customHeight="1" x14ac:dyDescent="0.3">
      <c r="A32" s="936" t="s">
        <v>1312</v>
      </c>
      <c r="B32" s="936"/>
      <c r="C32" s="936"/>
      <c r="D32" s="936"/>
      <c r="E32" s="35"/>
      <c r="F32" s="22"/>
      <c r="G32" s="738"/>
      <c r="H32" s="738"/>
    </row>
    <row r="34" spans="1:12" s="5" customFormat="1" ht="30" customHeight="1" thickBot="1" x14ac:dyDescent="0.4">
      <c r="A34" s="935" t="s">
        <v>103</v>
      </c>
      <c r="B34" s="935"/>
      <c r="C34" s="935"/>
      <c r="D34" s="935"/>
      <c r="E34" s="935"/>
      <c r="F34" s="935"/>
      <c r="G34" s="935"/>
      <c r="H34" s="935"/>
      <c r="I34" s="935"/>
      <c r="J34" s="935"/>
      <c r="K34" s="935"/>
      <c r="L34" s="935"/>
    </row>
    <row r="35" spans="1:12" s="4" customFormat="1" x14ac:dyDescent="0.35">
      <c r="A35" s="17" t="s">
        <v>321</v>
      </c>
      <c r="B35" s="46"/>
      <c r="C35" s="46"/>
      <c r="D35" s="46"/>
      <c r="E35" s="46"/>
      <c r="F35" s="46"/>
    </row>
    <row r="36" spans="1:12" ht="15.75" customHeight="1" x14ac:dyDescent="0.35"/>
    <row r="37" spans="1:12" s="1" customFormat="1" ht="23" x14ac:dyDescent="0.3">
      <c r="A37" s="142" t="s">
        <v>797</v>
      </c>
      <c r="B37" s="142" t="s">
        <v>975</v>
      </c>
      <c r="C37" s="142" t="s">
        <v>798</v>
      </c>
      <c r="D37" s="748" t="s">
        <v>799</v>
      </c>
      <c r="E37" s="142" t="s">
        <v>800</v>
      </c>
      <c r="F37" s="49"/>
      <c r="G37" s="9"/>
    </row>
    <row r="38" spans="1:12" s="9" customFormat="1" ht="12" x14ac:dyDescent="0.3">
      <c r="A38" s="155" t="s">
        <v>545</v>
      </c>
      <c r="B38" s="155"/>
      <c r="C38" s="749"/>
      <c r="D38" s="750"/>
      <c r="E38" s="751"/>
      <c r="F38" s="60"/>
      <c r="G38" s="1"/>
    </row>
    <row r="39" spans="1:12" s="23" customFormat="1" ht="11.5" x14ac:dyDescent="0.25">
      <c r="A39" s="358" t="s">
        <v>276</v>
      </c>
      <c r="B39" s="777">
        <f>3/984</f>
        <v>3.0487804878048782E-3</v>
      </c>
      <c r="C39" s="511">
        <v>234</v>
      </c>
      <c r="D39" s="511">
        <v>234</v>
      </c>
      <c r="E39" s="778">
        <f>Table88[[#This Row],[Monthly entry level wage FY2022 (USD$)]]/Table88[[#This Row],[Monthly minimum wage FY2022 (USD$)]]</f>
        <v>1</v>
      </c>
      <c r="F39" s="22"/>
      <c r="G39" s="22"/>
    </row>
    <row r="40" spans="1:12" s="23" customFormat="1" ht="11.5" x14ac:dyDescent="0.25">
      <c r="A40" s="358" t="s">
        <v>275</v>
      </c>
      <c r="B40" s="777">
        <f>12/173</f>
        <v>6.9364161849710976E-2</v>
      </c>
      <c r="C40" s="511">
        <v>234</v>
      </c>
      <c r="D40" s="511">
        <v>234</v>
      </c>
      <c r="E40" s="778">
        <f>Table88[[#This Row],[Monthly entry level wage FY2022 (USD$)]]/Table88[[#This Row],[Monthly minimum wage FY2022 (USD$)]]</f>
        <v>1</v>
      </c>
      <c r="F40" s="22"/>
      <c r="G40" s="22"/>
    </row>
    <row r="41" spans="1:12" s="9" customFormat="1" ht="12" x14ac:dyDescent="0.3">
      <c r="A41" s="155" t="s">
        <v>546</v>
      </c>
      <c r="B41" s="155"/>
      <c r="C41" s="749"/>
      <c r="D41" s="750"/>
      <c r="E41" s="751"/>
      <c r="F41" s="60"/>
      <c r="G41" s="1"/>
    </row>
    <row r="42" spans="1:12" s="23" customFormat="1" ht="11.5" x14ac:dyDescent="0.25">
      <c r="A42" s="358" t="s">
        <v>276</v>
      </c>
      <c r="B42" s="779">
        <v>0.51</v>
      </c>
      <c r="C42" s="780">
        <v>4524.8</v>
      </c>
      <c r="D42" s="781">
        <v>1520</v>
      </c>
      <c r="E42" s="782">
        <f>Table88[[#This Row],[Monthly entry level wage FY2022 (USD$)]]/Table88[[#This Row],[Monthly minimum wage FY2022 (USD$)]]</f>
        <v>2.9768421052631582</v>
      </c>
      <c r="F42" s="22"/>
      <c r="G42" s="22"/>
    </row>
    <row r="43" spans="1:12" s="23" customFormat="1" ht="11.5" x14ac:dyDescent="0.25">
      <c r="A43" s="363" t="s">
        <v>275</v>
      </c>
      <c r="B43" s="783">
        <v>0.19</v>
      </c>
      <c r="C43" s="784">
        <v>4524.8</v>
      </c>
      <c r="D43" s="785">
        <v>1520</v>
      </c>
      <c r="E43" s="390">
        <f>Table88[[#This Row],[Monthly entry level wage FY2022 (USD$)]]/Table88[[#This Row],[Monthly minimum wage FY2022 (USD$)]]</f>
        <v>2.9768421052631582</v>
      </c>
      <c r="F43" s="22"/>
      <c r="G43" s="22"/>
      <c r="H43" s="22"/>
    </row>
    <row r="45" spans="1:12" s="5" customFormat="1" ht="30" customHeight="1" thickBot="1" x14ac:dyDescent="0.4">
      <c r="A45" s="935" t="s">
        <v>1208</v>
      </c>
      <c r="B45" s="935"/>
      <c r="C45" s="935"/>
      <c r="D45" s="935"/>
      <c r="E45" s="935"/>
      <c r="F45" s="935"/>
      <c r="G45" s="935"/>
      <c r="H45" s="935"/>
      <c r="I45" s="935"/>
      <c r="J45" s="935"/>
      <c r="K45" s="935"/>
      <c r="L45" s="935"/>
    </row>
    <row r="46" spans="1:12" s="4" customFormat="1" x14ac:dyDescent="0.35">
      <c r="A46" s="17" t="s">
        <v>322</v>
      </c>
      <c r="B46" s="46"/>
      <c r="C46" s="46"/>
      <c r="D46" s="46"/>
      <c r="E46" s="46"/>
      <c r="F46" s="46"/>
    </row>
    <row r="48" spans="1:12" s="1" customFormat="1" ht="12" customHeight="1" x14ac:dyDescent="0.3">
      <c r="A48" s="752" t="s">
        <v>815</v>
      </c>
      <c r="B48" s="753" t="s">
        <v>1209</v>
      </c>
      <c r="C48" s="753" t="s">
        <v>112</v>
      </c>
      <c r="D48" s="753" t="s">
        <v>816</v>
      </c>
      <c r="E48" s="753" t="s">
        <v>817</v>
      </c>
      <c r="F48" s="754" t="s">
        <v>818</v>
      </c>
      <c r="G48" s="265" t="s">
        <v>819</v>
      </c>
    </row>
    <row r="49" spans="1:7" s="22" customFormat="1" ht="27" customHeight="1" x14ac:dyDescent="0.25">
      <c r="A49" s="786" t="s">
        <v>810</v>
      </c>
      <c r="B49" s="354" t="s">
        <v>1231</v>
      </c>
      <c r="C49" s="478" t="s">
        <v>216</v>
      </c>
      <c r="D49" s="787">
        <v>59000</v>
      </c>
      <c r="E49" s="787" t="s">
        <v>803</v>
      </c>
      <c r="F49" s="594">
        <v>122</v>
      </c>
      <c r="G49" s="997" t="s">
        <v>1242</v>
      </c>
    </row>
    <row r="50" spans="1:7" s="22" customFormat="1" ht="23" x14ac:dyDescent="0.25">
      <c r="A50" s="786" t="s">
        <v>810</v>
      </c>
      <c r="B50" s="788" t="s">
        <v>1232</v>
      </c>
      <c r="C50" s="478" t="s">
        <v>215</v>
      </c>
      <c r="D50" s="787">
        <v>48001</v>
      </c>
      <c r="E50" s="787" t="s">
        <v>803</v>
      </c>
      <c r="F50" s="594">
        <v>33</v>
      </c>
      <c r="G50" s="997"/>
    </row>
    <row r="51" spans="1:7" s="22" customFormat="1" ht="23" x14ac:dyDescent="0.25">
      <c r="A51" s="786" t="s">
        <v>810</v>
      </c>
      <c r="B51" s="354" t="s">
        <v>1233</v>
      </c>
      <c r="C51" s="478" t="s">
        <v>809</v>
      </c>
      <c r="D51" s="787">
        <v>7700</v>
      </c>
      <c r="E51" s="787" t="s">
        <v>803</v>
      </c>
      <c r="F51" s="594" t="s">
        <v>811</v>
      </c>
      <c r="G51" s="997"/>
    </row>
    <row r="52" spans="1:7" s="22" customFormat="1" ht="43.5" customHeight="1" x14ac:dyDescent="0.25">
      <c r="A52" s="786" t="s">
        <v>801</v>
      </c>
      <c r="B52" s="354" t="s">
        <v>1234</v>
      </c>
      <c r="C52" s="478" t="s">
        <v>802</v>
      </c>
      <c r="D52" s="787">
        <v>1387809.0502062701</v>
      </c>
      <c r="E52" s="787" t="s">
        <v>803</v>
      </c>
      <c r="F52" s="594" t="s">
        <v>804</v>
      </c>
      <c r="G52" s="369" t="s">
        <v>1243</v>
      </c>
    </row>
    <row r="53" spans="1:7" s="22" customFormat="1" ht="48" customHeight="1" x14ac:dyDescent="0.25">
      <c r="A53" s="786" t="s">
        <v>805</v>
      </c>
      <c r="B53" s="354" t="s">
        <v>1235</v>
      </c>
      <c r="C53" s="478" t="s">
        <v>802</v>
      </c>
      <c r="D53" s="787">
        <v>431907</v>
      </c>
      <c r="E53" s="787" t="s">
        <v>803</v>
      </c>
      <c r="F53" s="594">
        <v>127</v>
      </c>
      <c r="G53" s="997" t="s">
        <v>1244</v>
      </c>
    </row>
    <row r="54" spans="1:7" s="22" customFormat="1" ht="11.5" x14ac:dyDescent="0.25">
      <c r="A54" s="786" t="s">
        <v>805</v>
      </c>
      <c r="B54" s="354" t="s">
        <v>1236</v>
      </c>
      <c r="C54" s="478" t="s">
        <v>806</v>
      </c>
      <c r="D54" s="787">
        <v>1200000</v>
      </c>
      <c r="E54" s="787" t="s">
        <v>803</v>
      </c>
      <c r="F54" s="594">
        <f>10*3</f>
        <v>30</v>
      </c>
      <c r="G54" s="997"/>
    </row>
    <row r="55" spans="1:7" s="22" customFormat="1" ht="11.5" x14ac:dyDescent="0.25">
      <c r="A55" s="786" t="s">
        <v>807</v>
      </c>
      <c r="B55" s="354" t="s">
        <v>1171</v>
      </c>
      <c r="C55" s="478" t="s">
        <v>802</v>
      </c>
      <c r="D55" s="787">
        <v>11725.6034615962</v>
      </c>
      <c r="E55" s="787" t="s">
        <v>803</v>
      </c>
      <c r="F55" s="789">
        <f>1235+127</f>
        <v>1362</v>
      </c>
      <c r="G55" s="997" t="s">
        <v>1245</v>
      </c>
    </row>
    <row r="56" spans="1:7" s="22" customFormat="1" ht="15" customHeight="1" x14ac:dyDescent="0.25">
      <c r="A56" s="786" t="s">
        <v>807</v>
      </c>
      <c r="B56" s="354" t="s">
        <v>1237</v>
      </c>
      <c r="C56" s="478" t="s">
        <v>214</v>
      </c>
      <c r="D56" s="787">
        <v>0</v>
      </c>
      <c r="E56" s="787" t="s">
        <v>323</v>
      </c>
      <c r="F56" s="789">
        <f>14712+11055</f>
        <v>25767</v>
      </c>
      <c r="G56" s="997"/>
    </row>
    <row r="57" spans="1:7" s="22" customFormat="1" ht="11.5" x14ac:dyDescent="0.25">
      <c r="A57" s="613" t="s">
        <v>807</v>
      </c>
      <c r="B57" s="362" t="s">
        <v>1238</v>
      </c>
      <c r="C57" s="478" t="s">
        <v>215</v>
      </c>
      <c r="D57" s="787">
        <v>78642.522591390894</v>
      </c>
      <c r="E57" s="787" t="s">
        <v>803</v>
      </c>
      <c r="F57" s="594" t="s">
        <v>808</v>
      </c>
      <c r="G57" s="997"/>
    </row>
    <row r="58" spans="1:7" s="22" customFormat="1" ht="11.5" x14ac:dyDescent="0.25">
      <c r="A58" s="613" t="s">
        <v>807</v>
      </c>
      <c r="B58" s="354" t="s">
        <v>1172</v>
      </c>
      <c r="C58" s="478" t="s">
        <v>152</v>
      </c>
      <c r="D58" s="787">
        <v>6638.0940709995502</v>
      </c>
      <c r="E58" s="787" t="s">
        <v>803</v>
      </c>
      <c r="F58" s="789">
        <f>(38*4)+402</f>
        <v>554</v>
      </c>
      <c r="G58" s="997"/>
    </row>
    <row r="59" spans="1:7" s="22" customFormat="1" ht="11.5" x14ac:dyDescent="0.25">
      <c r="A59" s="786" t="s">
        <v>807</v>
      </c>
      <c r="B59" s="354" t="s">
        <v>1173</v>
      </c>
      <c r="C59" s="478" t="s">
        <v>216</v>
      </c>
      <c r="D59" s="787">
        <v>21000</v>
      </c>
      <c r="E59" s="787" t="s">
        <v>803</v>
      </c>
      <c r="F59" s="594">
        <f>196*4</f>
        <v>784</v>
      </c>
      <c r="G59" s="997"/>
    </row>
    <row r="60" spans="1:7" s="22" customFormat="1" ht="11.5" x14ac:dyDescent="0.25">
      <c r="A60" s="786" t="s">
        <v>807</v>
      </c>
      <c r="B60" s="354" t="s">
        <v>1239</v>
      </c>
      <c r="C60" s="478" t="s">
        <v>809</v>
      </c>
      <c r="D60" s="787">
        <v>3852.46</v>
      </c>
      <c r="E60" s="787" t="s">
        <v>803</v>
      </c>
      <c r="F60" s="618">
        <v>30000</v>
      </c>
      <c r="G60" s="997"/>
    </row>
    <row r="61" spans="1:7" s="22" customFormat="1" ht="46" x14ac:dyDescent="0.25">
      <c r="A61" s="786" t="s">
        <v>1009</v>
      </c>
      <c r="B61" s="354" t="s">
        <v>812</v>
      </c>
      <c r="C61" s="478" t="s">
        <v>216</v>
      </c>
      <c r="D61" s="787">
        <v>22000</v>
      </c>
      <c r="E61" s="787" t="s">
        <v>803</v>
      </c>
      <c r="F61" s="594">
        <f>196*4</f>
        <v>784</v>
      </c>
      <c r="G61" s="369" t="s">
        <v>1246</v>
      </c>
    </row>
    <row r="62" spans="1:7" s="22" customFormat="1" ht="34.5" x14ac:dyDescent="0.25">
      <c r="A62" s="786" t="s">
        <v>1009</v>
      </c>
      <c r="B62" s="354" t="s">
        <v>1240</v>
      </c>
      <c r="C62" s="478" t="s">
        <v>813</v>
      </c>
      <c r="D62" s="787">
        <v>260142.68891816601</v>
      </c>
      <c r="E62" s="787" t="s">
        <v>803</v>
      </c>
      <c r="F62" s="789">
        <v>6730</v>
      </c>
      <c r="G62" s="369" t="s">
        <v>1247</v>
      </c>
    </row>
    <row r="63" spans="1:7" s="22" customFormat="1" ht="34.5" x14ac:dyDescent="0.25">
      <c r="A63" s="613" t="s">
        <v>814</v>
      </c>
      <c r="B63" s="354" t="s">
        <v>1174</v>
      </c>
      <c r="C63" s="478" t="s">
        <v>802</v>
      </c>
      <c r="D63" s="787">
        <f>147552.098753285+62927.8075557457</f>
        <v>210479.90630903072</v>
      </c>
      <c r="E63" s="787" t="s">
        <v>803</v>
      </c>
      <c r="F63" s="789">
        <f>254+1207+5549+1235</f>
        <v>8245</v>
      </c>
      <c r="G63" s="997" t="s">
        <v>1248</v>
      </c>
    </row>
    <row r="64" spans="1:7" s="22" customFormat="1" ht="24" customHeight="1" x14ac:dyDescent="0.25">
      <c r="A64" s="613" t="s">
        <v>814</v>
      </c>
      <c r="B64" s="354" t="s">
        <v>1175</v>
      </c>
      <c r="C64" s="478" t="s">
        <v>216</v>
      </c>
      <c r="D64" s="787">
        <v>101829.04173098</v>
      </c>
      <c r="E64" s="787" t="s">
        <v>803</v>
      </c>
      <c r="F64" s="789">
        <v>7000</v>
      </c>
      <c r="G64" s="997"/>
    </row>
    <row r="65" spans="1:12" s="22" customFormat="1" ht="11.5" x14ac:dyDescent="0.25">
      <c r="A65" s="786" t="s">
        <v>814</v>
      </c>
      <c r="B65" s="354" t="s">
        <v>1241</v>
      </c>
      <c r="C65" s="478" t="s">
        <v>809</v>
      </c>
      <c r="D65" s="787"/>
      <c r="E65" s="787" t="s">
        <v>803</v>
      </c>
      <c r="F65" s="594">
        <v>402</v>
      </c>
      <c r="G65" s="997"/>
    </row>
    <row r="66" spans="1:12" s="22" customFormat="1" ht="11.5" x14ac:dyDescent="0.25">
      <c r="A66" s="613" t="s">
        <v>814</v>
      </c>
      <c r="B66" s="354" t="s">
        <v>1176</v>
      </c>
      <c r="C66" s="478" t="s">
        <v>216</v>
      </c>
      <c r="D66" s="787">
        <v>6211.3453652698599</v>
      </c>
      <c r="E66" s="787" t="s">
        <v>803</v>
      </c>
      <c r="F66" s="789">
        <v>14422</v>
      </c>
      <c r="G66" s="997"/>
    </row>
    <row r="67" spans="1:12" s="481" customFormat="1" ht="38.25" customHeight="1" x14ac:dyDescent="0.35">
      <c r="A67" s="936" t="s">
        <v>1313</v>
      </c>
      <c r="B67" s="936"/>
      <c r="C67" s="936"/>
      <c r="D67" s="936"/>
      <c r="E67" s="936"/>
      <c r="F67" s="936"/>
      <c r="G67" s="936"/>
      <c r="H67" s="936"/>
      <c r="I67" s="936"/>
    </row>
    <row r="69" spans="1:12" s="5" customFormat="1" ht="30" customHeight="1" thickBot="1" x14ac:dyDescent="0.4">
      <c r="A69" s="935" t="s">
        <v>976</v>
      </c>
      <c r="B69" s="935"/>
      <c r="C69" s="935"/>
      <c r="D69" s="935"/>
      <c r="E69" s="935"/>
      <c r="F69" s="935"/>
      <c r="G69" s="935"/>
      <c r="H69" s="935"/>
      <c r="I69" s="935"/>
      <c r="J69" s="935"/>
      <c r="K69" s="935"/>
      <c r="L69" s="935"/>
    </row>
    <row r="70" spans="1:12" s="4" customFormat="1" x14ac:dyDescent="0.35">
      <c r="A70" s="17" t="s">
        <v>324</v>
      </c>
      <c r="B70" s="46"/>
      <c r="C70" s="46"/>
      <c r="D70" s="46"/>
      <c r="E70" s="46"/>
      <c r="F70" s="46"/>
    </row>
    <row r="72" spans="1:12" s="12" customFormat="1" x14ac:dyDescent="0.35">
      <c r="A72" s="755" t="s">
        <v>820</v>
      </c>
      <c r="B72" s="993" t="s">
        <v>821</v>
      </c>
      <c r="C72" s="994"/>
      <c r="D72" s="995"/>
      <c r="E72" s="756"/>
      <c r="F72" s="41"/>
      <c r="G72" s="7"/>
      <c r="H72" s="7"/>
    </row>
    <row r="73" spans="1:12" s="12" customFormat="1" x14ac:dyDescent="0.35">
      <c r="A73" s="757" t="s">
        <v>969</v>
      </c>
      <c r="B73" s="758"/>
      <c r="C73" s="155"/>
      <c r="D73" s="156"/>
      <c r="E73" s="756"/>
      <c r="F73" s="41"/>
      <c r="G73" s="7"/>
      <c r="H73" s="7"/>
    </row>
    <row r="74" spans="1:12" s="793" customFormat="1" ht="65.25" customHeight="1" x14ac:dyDescent="0.35">
      <c r="A74" s="791" t="s">
        <v>822</v>
      </c>
      <c r="B74" s="987" t="s">
        <v>1225</v>
      </c>
      <c r="C74" s="988"/>
      <c r="D74" s="989"/>
      <c r="E74" s="16"/>
      <c r="F74" s="18"/>
      <c r="G74" s="792"/>
      <c r="H74" s="792"/>
    </row>
    <row r="75" spans="1:12" s="793" customFormat="1" x14ac:dyDescent="0.35">
      <c r="A75" s="791" t="s">
        <v>325</v>
      </c>
      <c r="B75" s="987" t="s">
        <v>1226</v>
      </c>
      <c r="C75" s="988"/>
      <c r="D75" s="989"/>
      <c r="E75" s="16"/>
      <c r="F75" s="18"/>
      <c r="G75" s="792"/>
      <c r="H75" s="792"/>
    </row>
    <row r="76" spans="1:12" s="793" customFormat="1" ht="53.25" customHeight="1" x14ac:dyDescent="0.35">
      <c r="A76" s="791" t="s">
        <v>326</v>
      </c>
      <c r="B76" s="987" t="s">
        <v>1227</v>
      </c>
      <c r="C76" s="988"/>
      <c r="D76" s="989"/>
      <c r="E76" s="16"/>
      <c r="F76" s="18"/>
      <c r="G76" s="792"/>
      <c r="H76" s="792"/>
    </row>
    <row r="77" spans="1:12" s="793" customFormat="1" ht="63" customHeight="1" x14ac:dyDescent="0.35">
      <c r="A77" s="791" t="s">
        <v>823</v>
      </c>
      <c r="B77" s="987" t="s">
        <v>1314</v>
      </c>
      <c r="C77" s="988"/>
      <c r="D77" s="989"/>
      <c r="E77" s="16"/>
      <c r="F77" s="794"/>
      <c r="G77" s="795"/>
      <c r="H77" s="792"/>
    </row>
    <row r="78" spans="1:12" s="793" customFormat="1" ht="36.75" customHeight="1" x14ac:dyDescent="0.35">
      <c r="A78" s="791" t="s">
        <v>327</v>
      </c>
      <c r="B78" s="987" t="s">
        <v>1228</v>
      </c>
      <c r="C78" s="988"/>
      <c r="D78" s="989"/>
      <c r="E78" s="16"/>
      <c r="F78" s="18"/>
      <c r="G78" s="792"/>
      <c r="H78" s="792"/>
    </row>
    <row r="79" spans="1:12" s="12" customFormat="1" x14ac:dyDescent="0.35">
      <c r="A79" s="757" t="s">
        <v>546</v>
      </c>
      <c r="B79" s="758"/>
      <c r="C79" s="155"/>
      <c r="D79" s="156"/>
      <c r="E79" s="756"/>
      <c r="F79" s="41"/>
      <c r="G79" s="7"/>
      <c r="H79" s="7"/>
    </row>
    <row r="80" spans="1:12" s="793" customFormat="1" x14ac:dyDescent="0.35">
      <c r="A80" s="791" t="s">
        <v>824</v>
      </c>
      <c r="B80" s="990" t="s">
        <v>1229</v>
      </c>
      <c r="C80" s="991"/>
      <c r="D80" s="992"/>
      <c r="E80" s="16"/>
      <c r="F80" s="18"/>
      <c r="G80" s="792"/>
      <c r="H80" s="792"/>
    </row>
    <row r="81" spans="1:12" s="793" customFormat="1" x14ac:dyDescent="0.35">
      <c r="A81" s="791" t="s">
        <v>825</v>
      </c>
      <c r="B81" s="987" t="s">
        <v>1230</v>
      </c>
      <c r="C81" s="988"/>
      <c r="D81" s="989"/>
      <c r="E81" s="16"/>
      <c r="F81" s="18"/>
      <c r="G81" s="792"/>
      <c r="H81" s="792"/>
    </row>
    <row r="82" spans="1:12" s="792" customFormat="1" ht="29.25" customHeight="1" x14ac:dyDescent="0.35">
      <c r="A82" s="996" t="s">
        <v>1315</v>
      </c>
      <c r="B82" s="996"/>
      <c r="C82" s="996"/>
      <c r="D82" s="996"/>
      <c r="E82" s="18"/>
      <c r="F82" s="18"/>
    </row>
    <row r="83" spans="1:12" x14ac:dyDescent="0.35">
      <c r="A83" s="790"/>
      <c r="B83" s="790"/>
      <c r="C83" s="790"/>
      <c r="D83" s="790"/>
    </row>
    <row r="84" spans="1:12" s="5" customFormat="1" ht="30" customHeight="1" thickBot="1" x14ac:dyDescent="0.4">
      <c r="A84" s="935" t="s">
        <v>108</v>
      </c>
      <c r="B84" s="935"/>
      <c r="C84" s="935"/>
      <c r="D84" s="935"/>
      <c r="E84" s="935"/>
      <c r="F84" s="935"/>
      <c r="G84" s="935"/>
      <c r="H84" s="935"/>
      <c r="I84" s="935"/>
      <c r="J84" s="935"/>
      <c r="K84" s="935"/>
      <c r="L84" s="935"/>
    </row>
    <row r="85" spans="1:12" s="4" customFormat="1" x14ac:dyDescent="0.35">
      <c r="A85" s="17" t="s">
        <v>328</v>
      </c>
      <c r="B85" s="46"/>
      <c r="C85" s="46"/>
      <c r="D85" s="46"/>
      <c r="E85" s="46"/>
      <c r="F85" s="46"/>
    </row>
    <row r="87" spans="1:12" s="9" customFormat="1" ht="12" x14ac:dyDescent="0.25">
      <c r="A87" s="142" t="s">
        <v>1154</v>
      </c>
      <c r="B87" s="142" t="s">
        <v>548</v>
      </c>
      <c r="C87" s="142" t="s">
        <v>331</v>
      </c>
      <c r="D87" s="142" t="s">
        <v>330</v>
      </c>
      <c r="E87" s="60"/>
      <c r="F87" s="60"/>
    </row>
    <row r="88" spans="1:12" s="9" customFormat="1" ht="13" x14ac:dyDescent="0.25">
      <c r="A88" s="155" t="s">
        <v>471</v>
      </c>
      <c r="B88" s="759"/>
      <c r="C88" s="337"/>
      <c r="D88" s="337"/>
      <c r="E88" s="60"/>
      <c r="F88" s="60"/>
    </row>
    <row r="89" spans="1:12" s="772" customFormat="1" ht="12" x14ac:dyDescent="0.25">
      <c r="A89" s="358" t="s">
        <v>1155</v>
      </c>
      <c r="B89" s="796">
        <v>2.5877186308828772E-2</v>
      </c>
      <c r="C89" s="797">
        <v>0.02</v>
      </c>
      <c r="D89" s="797">
        <v>0.04</v>
      </c>
      <c r="E89" s="22"/>
      <c r="F89" s="22"/>
    </row>
    <row r="90" spans="1:12" s="772" customFormat="1" ht="12" x14ac:dyDescent="0.25">
      <c r="A90" s="358" t="s">
        <v>1212</v>
      </c>
      <c r="B90" s="796">
        <v>0.83906895921498859</v>
      </c>
      <c r="C90" s="797">
        <v>0.43</v>
      </c>
      <c r="D90" s="797">
        <v>0.65</v>
      </c>
      <c r="E90" s="22"/>
      <c r="F90" s="22"/>
    </row>
    <row r="91" spans="1:12" s="772" customFormat="1" ht="12" x14ac:dyDescent="0.25">
      <c r="A91" s="358" t="s">
        <v>279</v>
      </c>
      <c r="B91" s="797">
        <v>0.13505385447618268</v>
      </c>
      <c r="C91" s="797">
        <v>0.55000000000000004</v>
      </c>
      <c r="D91" s="797">
        <v>0.30999999999999994</v>
      </c>
      <c r="E91" s="22"/>
      <c r="F91" s="22"/>
    </row>
    <row r="92" spans="1:12" s="9" customFormat="1" ht="12" x14ac:dyDescent="0.25">
      <c r="A92" s="337" t="s">
        <v>545</v>
      </c>
      <c r="B92" s="293"/>
      <c r="C92" s="293"/>
      <c r="D92" s="293"/>
      <c r="E92" s="60"/>
      <c r="F92" s="60"/>
    </row>
    <row r="93" spans="1:12" s="772" customFormat="1" ht="12" x14ac:dyDescent="0.25">
      <c r="A93" s="358" t="s">
        <v>1155</v>
      </c>
      <c r="B93" s="796">
        <v>2.3117488310670148E-2</v>
      </c>
      <c r="C93" s="796">
        <v>0.02</v>
      </c>
      <c r="D93" s="796">
        <v>0.04</v>
      </c>
      <c r="E93" s="22"/>
      <c r="F93" s="22"/>
    </row>
    <row r="94" spans="1:12" s="772" customFormat="1" ht="12" x14ac:dyDescent="0.25">
      <c r="A94" s="358" t="s">
        <v>1212</v>
      </c>
      <c r="B94" s="796">
        <v>0.73541168704395199</v>
      </c>
      <c r="C94" s="796">
        <v>0.43</v>
      </c>
      <c r="D94" s="796">
        <v>0.65</v>
      </c>
      <c r="E94" s="22"/>
      <c r="F94" s="22"/>
    </row>
    <row r="95" spans="1:12" s="772" customFormat="1" ht="12" x14ac:dyDescent="0.25">
      <c r="A95" s="358" t="s">
        <v>279</v>
      </c>
      <c r="B95" s="796">
        <v>0.24147082464537789</v>
      </c>
      <c r="C95" s="796">
        <v>0.55000000000000004</v>
      </c>
      <c r="D95" s="796">
        <v>0.30999999999999994</v>
      </c>
      <c r="E95" s="22"/>
      <c r="F95" s="22"/>
    </row>
    <row r="96" spans="1:12" s="9" customFormat="1" ht="12" x14ac:dyDescent="0.25">
      <c r="A96" s="337" t="s">
        <v>546</v>
      </c>
      <c r="B96" s="293"/>
      <c r="C96" s="293"/>
      <c r="D96" s="293"/>
      <c r="E96" s="60"/>
      <c r="F96" s="60"/>
    </row>
    <row r="97" spans="1:12" s="772" customFormat="1" ht="12" x14ac:dyDescent="0.25">
      <c r="A97" s="358" t="s">
        <v>1155</v>
      </c>
      <c r="B97" s="796">
        <v>2.8636884306987399E-2</v>
      </c>
      <c r="C97" s="594" t="s">
        <v>11</v>
      </c>
      <c r="D97" s="594" t="s">
        <v>11</v>
      </c>
      <c r="E97" s="22"/>
      <c r="F97" s="22"/>
    </row>
    <row r="98" spans="1:12" s="772" customFormat="1" ht="12" x14ac:dyDescent="0.25">
      <c r="A98" s="358" t="s">
        <v>1212</v>
      </c>
      <c r="B98" s="796">
        <v>0.94272623138602518</v>
      </c>
      <c r="C98" s="594" t="s">
        <v>11</v>
      </c>
      <c r="D98" s="594" t="s">
        <v>11</v>
      </c>
      <c r="E98" s="22"/>
      <c r="F98" s="22"/>
    </row>
    <row r="99" spans="1:12" s="772" customFormat="1" ht="12" x14ac:dyDescent="0.25">
      <c r="A99" s="363" t="s">
        <v>279</v>
      </c>
      <c r="B99" s="798">
        <v>2.8636884306987399E-2</v>
      </c>
      <c r="C99" s="619" t="s">
        <v>11</v>
      </c>
      <c r="D99" s="619" t="s">
        <v>11</v>
      </c>
      <c r="E99" s="22"/>
      <c r="F99" s="22"/>
    </row>
    <row r="100" spans="1:12" s="772" customFormat="1" ht="46.5" customHeight="1" x14ac:dyDescent="0.3">
      <c r="A100" s="936" t="s">
        <v>1316</v>
      </c>
      <c r="B100" s="936"/>
      <c r="C100" s="936"/>
      <c r="D100" s="936"/>
      <c r="E100" s="23"/>
      <c r="F100" s="22"/>
      <c r="G100" s="738"/>
      <c r="H100" s="738"/>
    </row>
    <row r="101" spans="1:12" x14ac:dyDescent="0.35">
      <c r="A101" s="998"/>
      <c r="B101" s="998"/>
      <c r="C101" s="998"/>
      <c r="D101" s="998"/>
      <c r="E101" s="998"/>
      <c r="F101" s="998"/>
    </row>
    <row r="102" spans="1:12" s="5" customFormat="1" ht="30" customHeight="1" thickBot="1" x14ac:dyDescent="0.4">
      <c r="A102" s="935" t="s">
        <v>1003</v>
      </c>
      <c r="B102" s="935"/>
      <c r="C102" s="935"/>
      <c r="D102" s="935"/>
      <c r="E102" s="935"/>
      <c r="F102" s="935"/>
      <c r="G102" s="935"/>
      <c r="H102" s="935"/>
      <c r="I102" s="935"/>
      <c r="J102" s="935"/>
      <c r="K102" s="935"/>
      <c r="L102" s="935"/>
    </row>
    <row r="103" spans="1:12" s="4" customFormat="1" x14ac:dyDescent="0.35">
      <c r="A103" s="17" t="s">
        <v>1004</v>
      </c>
      <c r="B103" s="46"/>
      <c r="C103" s="46"/>
      <c r="D103" s="46"/>
      <c r="E103" s="46"/>
      <c r="F103" s="46"/>
    </row>
    <row r="105" spans="1:12" s="9" customFormat="1" ht="12" x14ac:dyDescent="0.3">
      <c r="A105" s="761" t="s">
        <v>1001</v>
      </c>
      <c r="B105" s="761" t="s">
        <v>471</v>
      </c>
      <c r="C105" s="762" t="s">
        <v>545</v>
      </c>
      <c r="D105" s="762" t="s">
        <v>546</v>
      </c>
      <c r="E105" s="49"/>
      <c r="F105" s="60"/>
      <c r="G105" s="1"/>
      <c r="H105" s="1"/>
    </row>
    <row r="106" spans="1:12" s="772" customFormat="1" ht="12" x14ac:dyDescent="0.3">
      <c r="A106" s="358" t="s">
        <v>1002</v>
      </c>
      <c r="B106" s="764">
        <f>SUM(Table77[[#This Row],[Nicaragua]:[United States]])</f>
        <v>1018</v>
      </c>
      <c r="C106" s="789">
        <v>805</v>
      </c>
      <c r="D106" s="789">
        <v>213</v>
      </c>
      <c r="E106" s="23"/>
      <c r="F106" s="22"/>
      <c r="G106" s="738"/>
      <c r="H106" s="738"/>
    </row>
    <row r="107" spans="1:12" s="772" customFormat="1" ht="12.5" thickBot="1" x14ac:dyDescent="0.35">
      <c r="A107" s="396" t="s">
        <v>283</v>
      </c>
      <c r="B107" s="799">
        <f>SUM(Table77[[#This Row],[Nicaragua]:[United States]])</f>
        <v>128</v>
      </c>
      <c r="C107" s="800">
        <v>110</v>
      </c>
      <c r="D107" s="800">
        <v>18</v>
      </c>
      <c r="E107" s="23"/>
      <c r="F107" s="22"/>
      <c r="G107" s="738"/>
      <c r="H107" s="738"/>
    </row>
    <row r="108" spans="1:12" s="772" customFormat="1" ht="12.5" thickTop="1" x14ac:dyDescent="0.3">
      <c r="A108" s="23" t="s">
        <v>153</v>
      </c>
      <c r="B108" s="23">
        <f>SUBTOTAL(109,Table77[Company])</f>
        <v>1146</v>
      </c>
      <c r="C108" s="801">
        <f>SUBTOTAL(109,Table77[Nicaragua])</f>
        <v>915</v>
      </c>
      <c r="D108" s="801">
        <f>SUBTOTAL(109,Table77[United States])</f>
        <v>231</v>
      </c>
      <c r="E108" s="23"/>
      <c r="F108" s="22"/>
      <c r="G108" s="738"/>
      <c r="H108" s="738"/>
    </row>
    <row r="110" spans="1:12" x14ac:dyDescent="0.35">
      <c r="A110" s="760"/>
      <c r="B110" s="763"/>
      <c r="C110" s="763"/>
      <c r="D110" s="763"/>
      <c r="E110" s="760"/>
      <c r="F110" s="760"/>
    </row>
  </sheetData>
  <mergeCells count="35">
    <mergeCell ref="E84:H84"/>
    <mergeCell ref="I84:L84"/>
    <mergeCell ref="A102:D102"/>
    <mergeCell ref="E102:H102"/>
    <mergeCell ref="I102:L102"/>
    <mergeCell ref="A101:F101"/>
    <mergeCell ref="A45:D45"/>
    <mergeCell ref="E45:H45"/>
    <mergeCell ref="I45:L45"/>
    <mergeCell ref="A69:D69"/>
    <mergeCell ref="E69:H69"/>
    <mergeCell ref="I69:L69"/>
    <mergeCell ref="G49:G51"/>
    <mergeCell ref="A67:I67"/>
    <mergeCell ref="G53:G54"/>
    <mergeCell ref="G55:G60"/>
    <mergeCell ref="G63:G66"/>
    <mergeCell ref="A1:D1"/>
    <mergeCell ref="E1:H1"/>
    <mergeCell ref="I1:L1"/>
    <mergeCell ref="A34:D34"/>
    <mergeCell ref="E34:H34"/>
    <mergeCell ref="I34:L34"/>
    <mergeCell ref="A32:D32"/>
    <mergeCell ref="B78:D78"/>
    <mergeCell ref="B80:D80"/>
    <mergeCell ref="B81:D81"/>
    <mergeCell ref="A100:D100"/>
    <mergeCell ref="B72:D72"/>
    <mergeCell ref="B74:D74"/>
    <mergeCell ref="B75:D75"/>
    <mergeCell ref="B76:D76"/>
    <mergeCell ref="B77:D77"/>
    <mergeCell ref="A82:D82"/>
    <mergeCell ref="A84:D84"/>
  </mergeCells>
  <phoneticPr fontId="8" type="noConversion"/>
  <hyperlinks>
    <hyperlink ref="B50" r:id="rId1" display="https://www.youtube.com/watch?v=qsyfpep8RIc" xr:uid="{1125D295-EB0E-4E5F-98D8-FD8985D05977}"/>
  </hyperlinks>
  <pageMargins left="0.7" right="0.7" top="0.75" bottom="0.75" header="0.3" footer="0.3"/>
  <pageSetup orientation="portrait" r:id="rId2"/>
  <drawing r:id="rId3"/>
  <legacyDrawing r:id="rId4"/>
  <tableParts count="4">
    <tablePart r:id="rId5"/>
    <tablePart r:id="rId6"/>
    <tablePart r:id="rId7"/>
    <tablePart r:id="rId8"/>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8F23-9AB0-4D3F-867D-2E845E72A721}">
  <dimension ref="A1:K22"/>
  <sheetViews>
    <sheetView showGridLines="0" zoomScale="90" zoomScaleNormal="90" workbookViewId="0">
      <selection activeCell="A16" activeCellId="1" sqref="B5:C15 A16:C16"/>
    </sheetView>
  </sheetViews>
  <sheetFormatPr defaultColWidth="11.453125" defaultRowHeight="14" x14ac:dyDescent="0.3"/>
  <cols>
    <col min="1" max="1" width="45.81640625" style="37" customWidth="1"/>
    <col min="2" max="2" width="68.453125" style="37" customWidth="1"/>
    <col min="3" max="3" width="76" style="37" customWidth="1"/>
    <col min="4" max="4" width="16" style="37" customWidth="1"/>
    <col min="5" max="16384" width="11.453125" style="37"/>
  </cols>
  <sheetData>
    <row r="1" spans="1:11" s="62" customFormat="1" ht="30" customHeight="1" thickBot="1" x14ac:dyDescent="0.4">
      <c r="A1" s="935" t="s">
        <v>1197</v>
      </c>
      <c r="B1" s="935"/>
      <c r="C1" s="935"/>
      <c r="D1" s="935"/>
      <c r="E1" s="935"/>
      <c r="F1" s="935"/>
      <c r="G1" s="935"/>
      <c r="H1" s="935"/>
      <c r="I1" s="935"/>
      <c r="J1" s="935"/>
      <c r="K1" s="935"/>
    </row>
    <row r="2" spans="1:11" s="46" customFormat="1" x14ac:dyDescent="0.3">
      <c r="A2" s="17" t="s">
        <v>933</v>
      </c>
    </row>
    <row r="4" spans="1:11" s="49" customFormat="1" ht="11.5" x14ac:dyDescent="0.35">
      <c r="A4" s="262" t="s">
        <v>934</v>
      </c>
      <c r="B4" s="142" t="s">
        <v>545</v>
      </c>
      <c r="C4" s="142" t="s">
        <v>546</v>
      </c>
      <c r="D4" s="111"/>
      <c r="E4" s="111"/>
      <c r="F4" s="111"/>
      <c r="G4" s="111"/>
      <c r="H4" s="111"/>
      <c r="I4" s="111"/>
      <c r="K4" s="112"/>
    </row>
    <row r="5" spans="1:11" s="49" customFormat="1" ht="23" x14ac:dyDescent="0.35">
      <c r="A5" s="263" t="s">
        <v>1189</v>
      </c>
      <c r="B5" s="358" t="s">
        <v>935</v>
      </c>
      <c r="C5" s="358" t="s">
        <v>936</v>
      </c>
      <c r="D5" s="111"/>
      <c r="E5" s="111"/>
      <c r="F5" s="111"/>
      <c r="G5" s="111"/>
      <c r="H5" s="111"/>
      <c r="I5" s="111"/>
      <c r="K5" s="112"/>
    </row>
    <row r="6" spans="1:11" s="49" customFormat="1" ht="11.5" x14ac:dyDescent="0.35">
      <c r="A6" s="263" t="s">
        <v>937</v>
      </c>
      <c r="B6" s="358" t="s">
        <v>938</v>
      </c>
      <c r="C6" s="358" t="s">
        <v>938</v>
      </c>
      <c r="D6" s="111"/>
      <c r="E6" s="111"/>
      <c r="F6" s="111"/>
      <c r="G6" s="111"/>
      <c r="H6" s="111"/>
      <c r="I6" s="111"/>
      <c r="K6" s="112"/>
    </row>
    <row r="7" spans="1:11" s="49" customFormat="1" ht="11.5" x14ac:dyDescent="0.35">
      <c r="A7" s="263" t="s">
        <v>939</v>
      </c>
      <c r="B7" s="594">
        <v>1157</v>
      </c>
      <c r="C7" s="594">
        <v>69</v>
      </c>
      <c r="D7" s="111"/>
      <c r="E7" s="111"/>
      <c r="F7" s="111"/>
      <c r="G7" s="111"/>
      <c r="H7" s="111"/>
      <c r="I7" s="111"/>
      <c r="K7" s="112"/>
    </row>
    <row r="8" spans="1:11" s="49" customFormat="1" ht="11.5" x14ac:dyDescent="0.35">
      <c r="A8" s="263" t="s">
        <v>1190</v>
      </c>
      <c r="B8" s="802">
        <v>330.24245479914998</v>
      </c>
      <c r="C8" s="802">
        <v>79</v>
      </c>
      <c r="D8" s="111"/>
      <c r="E8" s="111"/>
      <c r="F8" s="111"/>
      <c r="G8" s="111"/>
      <c r="H8" s="111"/>
      <c r="I8" s="111"/>
      <c r="K8" s="112"/>
    </row>
    <row r="9" spans="1:11" s="49" customFormat="1" ht="11.5" x14ac:dyDescent="0.35">
      <c r="A9" s="263" t="s">
        <v>1191</v>
      </c>
      <c r="B9" s="802">
        <v>2.4182865251420003</v>
      </c>
      <c r="C9" s="802">
        <v>0</v>
      </c>
      <c r="D9" s="111"/>
      <c r="E9" s="111"/>
      <c r="F9" s="111"/>
      <c r="G9" s="111"/>
      <c r="H9" s="111"/>
      <c r="I9" s="111"/>
      <c r="K9" s="112"/>
    </row>
    <row r="10" spans="1:11" s="49" customFormat="1" ht="11.5" x14ac:dyDescent="0.35">
      <c r="A10" s="263" t="s">
        <v>1192</v>
      </c>
      <c r="B10" s="802">
        <v>61.066397969999997</v>
      </c>
      <c r="C10" s="802">
        <v>6.62</v>
      </c>
      <c r="D10" s="111"/>
      <c r="E10" s="111"/>
      <c r="F10" s="111"/>
      <c r="G10" s="111"/>
      <c r="H10" s="111"/>
      <c r="I10" s="111"/>
      <c r="K10" s="112"/>
    </row>
    <row r="11" spans="1:11" s="49" customFormat="1" ht="11.5" x14ac:dyDescent="0.35">
      <c r="A11" s="263" t="s">
        <v>1193</v>
      </c>
      <c r="B11" s="802">
        <v>231.19752</v>
      </c>
      <c r="C11" s="802">
        <v>21.2</v>
      </c>
      <c r="D11" s="111"/>
      <c r="E11" s="111"/>
      <c r="F11" s="111"/>
      <c r="G11" s="111"/>
      <c r="H11" s="111"/>
      <c r="I11" s="111"/>
      <c r="K11" s="112"/>
    </row>
    <row r="12" spans="1:11" s="49" customFormat="1" ht="11.5" x14ac:dyDescent="0.35">
      <c r="A12" s="263" t="s">
        <v>1194</v>
      </c>
      <c r="B12" s="802">
        <v>10.655077890000001</v>
      </c>
      <c r="C12" s="802">
        <v>1.48</v>
      </c>
      <c r="D12" s="111"/>
      <c r="E12" s="111"/>
      <c r="F12" s="111"/>
      <c r="G12" s="111"/>
      <c r="H12" s="111"/>
      <c r="I12" s="111"/>
      <c r="K12" s="112"/>
    </row>
    <row r="13" spans="1:11" s="49" customFormat="1" ht="11.5" x14ac:dyDescent="0.35">
      <c r="A13" s="263" t="s">
        <v>1195</v>
      </c>
      <c r="B13" s="802">
        <v>19.903858270000001</v>
      </c>
      <c r="C13" s="802">
        <v>1.77</v>
      </c>
      <c r="D13" s="111"/>
      <c r="E13" s="111"/>
      <c r="F13" s="111"/>
      <c r="G13" s="111"/>
      <c r="H13" s="111"/>
      <c r="I13" s="111"/>
      <c r="K13" s="112"/>
    </row>
    <row r="14" spans="1:11" s="49" customFormat="1" ht="22.5" customHeight="1" x14ac:dyDescent="0.35">
      <c r="A14" s="263" t="s">
        <v>940</v>
      </c>
      <c r="B14" s="358" t="s">
        <v>941</v>
      </c>
      <c r="C14" s="358" t="s">
        <v>942</v>
      </c>
      <c r="D14" s="111"/>
      <c r="E14" s="111"/>
      <c r="F14" s="111"/>
      <c r="G14" s="111"/>
      <c r="H14" s="111"/>
      <c r="I14" s="111"/>
      <c r="K14" s="112"/>
    </row>
    <row r="15" spans="1:11" s="49" customFormat="1" ht="11.5" x14ac:dyDescent="0.35">
      <c r="A15" s="264" t="s">
        <v>1196</v>
      </c>
      <c r="B15" s="363">
        <v>2022</v>
      </c>
      <c r="C15" s="363">
        <v>2022</v>
      </c>
      <c r="D15" s="111"/>
      <c r="E15" s="111"/>
      <c r="F15" s="111"/>
      <c r="G15" s="111"/>
      <c r="H15" s="111"/>
      <c r="I15" s="111"/>
      <c r="K15" s="112"/>
    </row>
    <row r="16" spans="1:11" s="49" customFormat="1" ht="52.5" customHeight="1" x14ac:dyDescent="0.25">
      <c r="A16" s="936" t="s">
        <v>1317</v>
      </c>
      <c r="B16" s="936"/>
      <c r="C16" s="936"/>
      <c r="D16" s="56"/>
    </row>
    <row r="22" spans="2:2" x14ac:dyDescent="0.3">
      <c r="B22" s="113"/>
    </row>
  </sheetData>
  <mergeCells count="4">
    <mergeCell ref="A16:C16"/>
    <mergeCell ref="A1:D1"/>
    <mergeCell ref="E1:H1"/>
    <mergeCell ref="I1:K1"/>
  </mergeCell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69B3-A6F7-43A4-94BB-89D1EDCCDF6B}">
  <dimension ref="A1:AE68"/>
  <sheetViews>
    <sheetView showGridLines="0" zoomScale="90" zoomScaleNormal="90" workbookViewId="0">
      <selection activeCell="A73" sqref="A73"/>
    </sheetView>
  </sheetViews>
  <sheetFormatPr defaultColWidth="11.453125" defaultRowHeight="14" x14ac:dyDescent="0.3"/>
  <cols>
    <col min="1" max="1" width="73.453125" style="37" customWidth="1"/>
    <col min="2" max="2" width="37.1796875" style="37" customWidth="1"/>
    <col min="3" max="3" width="38.81640625" style="37" customWidth="1"/>
    <col min="4" max="4" width="41.26953125" style="37" customWidth="1"/>
    <col min="5" max="5" width="24.453125" style="37" customWidth="1"/>
    <col min="6" max="6" width="76.7265625" style="37" bestFit="1" customWidth="1"/>
    <col min="7" max="7" width="22.81640625" style="37" bestFit="1" customWidth="1"/>
    <col min="8" max="8" width="35.7265625" style="37" bestFit="1" customWidth="1"/>
    <col min="9" max="9" width="32.81640625" style="37" bestFit="1" customWidth="1"/>
    <col min="10" max="10" width="13" style="37" bestFit="1" customWidth="1"/>
    <col min="11" max="11" width="76.7265625" style="37" bestFit="1" customWidth="1"/>
    <col min="12" max="12" width="22.81640625" style="37" bestFit="1" customWidth="1"/>
    <col min="13" max="13" width="35.7265625" style="37" bestFit="1" customWidth="1"/>
    <col min="14" max="14" width="32.81640625" style="37" bestFit="1" customWidth="1"/>
    <col min="15" max="16" width="11.453125" style="37"/>
    <col min="17" max="17" width="22.7265625" style="37" bestFit="1" customWidth="1"/>
    <col min="18" max="18" width="35.453125" style="37" bestFit="1" customWidth="1"/>
    <col min="19" max="19" width="32.7265625" style="37" bestFit="1" customWidth="1"/>
    <col min="20" max="24" width="11.453125" style="37"/>
    <col min="25" max="25" width="43.7265625" style="37" customWidth="1"/>
    <col min="26" max="16384" width="11.453125" style="37"/>
  </cols>
  <sheetData>
    <row r="1" spans="1:31" ht="17" thickBot="1" x14ac:dyDescent="0.4">
      <c r="A1" s="935" t="s">
        <v>46</v>
      </c>
      <c r="B1" s="935"/>
      <c r="C1" s="935"/>
      <c r="D1" s="935"/>
      <c r="E1" s="935"/>
      <c r="F1" s="935"/>
      <c r="G1" s="935"/>
      <c r="H1" s="935"/>
      <c r="I1" s="935"/>
      <c r="J1" s="935"/>
      <c r="K1" s="935"/>
      <c r="L1" s="935"/>
    </row>
    <row r="2" spans="1:31" x14ac:dyDescent="0.3">
      <c r="A2" s="126" t="s">
        <v>1259</v>
      </c>
    </row>
    <row r="4" spans="1:31" s="32" customFormat="1" ht="11.5" x14ac:dyDescent="0.25">
      <c r="A4" s="32" t="s">
        <v>471</v>
      </c>
      <c r="F4" s="32" t="s">
        <v>461</v>
      </c>
      <c r="K4" s="32" t="s">
        <v>464</v>
      </c>
      <c r="P4" s="32" t="s">
        <v>472</v>
      </c>
    </row>
    <row r="5" spans="1:31" s="58" customFormat="1" ht="11.5" x14ac:dyDescent="0.25">
      <c r="A5" s="222" t="s">
        <v>750</v>
      </c>
      <c r="B5" s="222" t="s">
        <v>46</v>
      </c>
      <c r="C5" s="222" t="s">
        <v>47</v>
      </c>
      <c r="D5" s="222" t="s">
        <v>48</v>
      </c>
      <c r="F5" s="222" t="s">
        <v>750</v>
      </c>
      <c r="G5" s="222" t="s">
        <v>46</v>
      </c>
      <c r="H5" s="222" t="s">
        <v>47</v>
      </c>
      <c r="I5" s="222" t="s">
        <v>48</v>
      </c>
      <c r="K5" s="243" t="s">
        <v>750</v>
      </c>
      <c r="L5" s="243" t="s">
        <v>46</v>
      </c>
      <c r="M5" s="243" t="s">
        <v>47</v>
      </c>
      <c r="N5" s="243" t="s">
        <v>48</v>
      </c>
      <c r="P5" s="243" t="s">
        <v>750</v>
      </c>
      <c r="Q5" s="243" t="s">
        <v>46</v>
      </c>
      <c r="R5" s="243" t="s">
        <v>47</v>
      </c>
      <c r="S5" s="243" t="s">
        <v>48</v>
      </c>
    </row>
    <row r="6" spans="1:31" s="118" customFormat="1" ht="11.5" x14ac:dyDescent="0.25">
      <c r="A6" s="260">
        <v>2022</v>
      </c>
      <c r="B6" s="261">
        <v>1660.1599999999999</v>
      </c>
      <c r="C6" s="261">
        <v>1154.03</v>
      </c>
      <c r="D6" s="261">
        <v>506.13</v>
      </c>
      <c r="F6" s="260">
        <v>2022</v>
      </c>
      <c r="G6" s="261">
        <v>1113.3900000000001</v>
      </c>
      <c r="H6" s="261">
        <v>958.25999999999988</v>
      </c>
      <c r="I6" s="261">
        <v>155.13</v>
      </c>
      <c r="K6" s="244">
        <v>2022</v>
      </c>
      <c r="L6" s="245">
        <v>462.77</v>
      </c>
      <c r="M6" s="245">
        <v>181.77</v>
      </c>
      <c r="N6" s="245">
        <v>281</v>
      </c>
      <c r="P6" s="244">
        <v>2022</v>
      </c>
      <c r="Q6" s="245">
        <v>84</v>
      </c>
      <c r="R6" s="245">
        <v>14</v>
      </c>
      <c r="S6" s="245">
        <v>70</v>
      </c>
    </row>
    <row r="7" spans="1:31" s="22" customFormat="1" ht="11.5" x14ac:dyDescent="0.25">
      <c r="A7" s="381" t="s">
        <v>341</v>
      </c>
      <c r="B7" s="385">
        <v>148.13999999999999</v>
      </c>
      <c r="C7" s="385">
        <v>78.14</v>
      </c>
      <c r="D7" s="385">
        <v>70</v>
      </c>
      <c r="F7" s="381" t="s">
        <v>341</v>
      </c>
      <c r="G7" s="385">
        <v>24.43</v>
      </c>
      <c r="H7" s="385">
        <v>24.43</v>
      </c>
      <c r="I7" s="385">
        <v>0</v>
      </c>
      <c r="K7" s="803" t="s">
        <v>341</v>
      </c>
      <c r="L7" s="804">
        <v>39.71</v>
      </c>
      <c r="M7" s="804">
        <v>39.71</v>
      </c>
      <c r="N7" s="804">
        <v>0</v>
      </c>
      <c r="P7" s="803" t="s">
        <v>341</v>
      </c>
      <c r="Q7" s="804">
        <v>84</v>
      </c>
      <c r="R7" s="804">
        <v>14</v>
      </c>
      <c r="S7" s="804">
        <v>70</v>
      </c>
    </row>
    <row r="8" spans="1:31" s="22" customFormat="1" ht="11.5" x14ac:dyDescent="0.25">
      <c r="A8" s="381" t="s">
        <v>345</v>
      </c>
      <c r="B8" s="385">
        <v>1512.02</v>
      </c>
      <c r="C8" s="385">
        <v>1075.8899999999999</v>
      </c>
      <c r="D8" s="385">
        <v>436.13</v>
      </c>
      <c r="F8" s="381" t="s">
        <v>345</v>
      </c>
      <c r="G8" s="385">
        <v>1088.96</v>
      </c>
      <c r="H8" s="385">
        <v>933.82999999999993</v>
      </c>
      <c r="I8" s="385">
        <v>155.13</v>
      </c>
      <c r="K8" s="803" t="s">
        <v>345</v>
      </c>
      <c r="L8" s="804">
        <v>423.06</v>
      </c>
      <c r="M8" s="804">
        <v>142.06</v>
      </c>
      <c r="N8" s="804">
        <v>281</v>
      </c>
      <c r="P8" s="803" t="s">
        <v>345</v>
      </c>
      <c r="Q8" s="804">
        <v>0</v>
      </c>
      <c r="R8" s="804">
        <v>0</v>
      </c>
      <c r="S8" s="804">
        <v>0</v>
      </c>
    </row>
    <row r="9" spans="1:31" s="118" customFormat="1" ht="11.5" x14ac:dyDescent="0.25">
      <c r="A9" s="260">
        <v>2021</v>
      </c>
      <c r="B9" s="261">
        <v>1254.54</v>
      </c>
      <c r="C9" s="261">
        <v>465.43999999999994</v>
      </c>
      <c r="D9" s="261">
        <v>789.1</v>
      </c>
      <c r="E9" s="127"/>
      <c r="F9" s="260">
        <v>2021</v>
      </c>
      <c r="G9" s="261">
        <v>1254.54</v>
      </c>
      <c r="H9" s="261">
        <v>465.43999999999994</v>
      </c>
      <c r="I9" s="261">
        <v>789.1</v>
      </c>
      <c r="K9" s="244">
        <v>2021</v>
      </c>
      <c r="L9" s="245">
        <v>0</v>
      </c>
      <c r="M9" s="245">
        <v>0</v>
      </c>
      <c r="N9" s="245">
        <v>0</v>
      </c>
      <c r="P9" s="244">
        <v>2021</v>
      </c>
      <c r="Q9" s="245">
        <v>0</v>
      </c>
      <c r="R9" s="245">
        <v>0</v>
      </c>
      <c r="S9" s="245">
        <v>0</v>
      </c>
    </row>
    <row r="10" spans="1:31" s="22" customFormat="1" ht="11.5" x14ac:dyDescent="0.25">
      <c r="A10" s="381" t="s">
        <v>341</v>
      </c>
      <c r="B10" s="385">
        <v>619.66</v>
      </c>
      <c r="C10" s="385">
        <v>95.16</v>
      </c>
      <c r="D10" s="385">
        <v>524.5</v>
      </c>
      <c r="F10" s="381" t="s">
        <v>341</v>
      </c>
      <c r="G10" s="385">
        <v>619.66</v>
      </c>
      <c r="H10" s="385">
        <v>95.16</v>
      </c>
      <c r="I10" s="385">
        <v>524.5</v>
      </c>
      <c r="K10" s="803" t="s">
        <v>341</v>
      </c>
      <c r="L10" s="804">
        <v>0</v>
      </c>
      <c r="M10" s="804">
        <v>0</v>
      </c>
      <c r="N10" s="804">
        <v>0</v>
      </c>
      <c r="P10" s="803" t="s">
        <v>341</v>
      </c>
      <c r="Q10" s="804">
        <v>0</v>
      </c>
      <c r="R10" s="804">
        <v>0</v>
      </c>
      <c r="S10" s="804">
        <v>0</v>
      </c>
    </row>
    <row r="11" spans="1:31" s="22" customFormat="1" ht="11.5" x14ac:dyDescent="0.25">
      <c r="A11" s="384" t="s">
        <v>345</v>
      </c>
      <c r="B11" s="805">
        <v>634.88</v>
      </c>
      <c r="C11" s="805">
        <v>370.28</v>
      </c>
      <c r="D11" s="805">
        <v>264.60000000000002</v>
      </c>
      <c r="F11" s="384" t="s">
        <v>345</v>
      </c>
      <c r="G11" s="805">
        <v>634.88</v>
      </c>
      <c r="H11" s="805">
        <v>370.28</v>
      </c>
      <c r="I11" s="805">
        <v>264.60000000000002</v>
      </c>
      <c r="K11" s="806" t="s">
        <v>345</v>
      </c>
      <c r="L11" s="807">
        <v>0</v>
      </c>
      <c r="M11" s="807">
        <v>0</v>
      </c>
      <c r="N11" s="807">
        <v>0</v>
      </c>
      <c r="P11" s="806" t="s">
        <v>345</v>
      </c>
      <c r="Q11" s="807">
        <v>0</v>
      </c>
      <c r="R11" s="807">
        <v>0</v>
      </c>
      <c r="S11" s="807">
        <v>0</v>
      </c>
    </row>
    <row r="12" spans="1:31" ht="30" customHeight="1" x14ac:dyDescent="0.3">
      <c r="C12" s="61"/>
      <c r="D12" s="61"/>
      <c r="E12" s="61"/>
    </row>
    <row r="13" spans="1:31" ht="30" customHeight="1" thickBot="1" x14ac:dyDescent="0.4">
      <c r="A13" s="935" t="s">
        <v>47</v>
      </c>
      <c r="B13" s="935"/>
      <c r="C13" s="935"/>
      <c r="D13" s="935"/>
      <c r="E13" s="935"/>
      <c r="F13" s="935"/>
      <c r="G13" s="935"/>
      <c r="H13" s="935"/>
      <c r="I13" s="935"/>
      <c r="J13" s="935"/>
      <c r="K13" s="935"/>
      <c r="L13" s="935"/>
    </row>
    <row r="14" spans="1:31" s="46" customFormat="1" x14ac:dyDescent="0.3">
      <c r="A14" s="17" t="s">
        <v>977</v>
      </c>
    </row>
    <row r="15" spans="1:31" x14ac:dyDescent="0.3">
      <c r="R15" s="128"/>
      <c r="S15" s="128"/>
      <c r="T15" s="128"/>
      <c r="U15" s="128"/>
      <c r="V15" s="128"/>
      <c r="W15" s="128"/>
    </row>
    <row r="16" spans="1:31" s="22" customFormat="1" ht="11.5" x14ac:dyDescent="0.25">
      <c r="A16" s="32" t="s">
        <v>471</v>
      </c>
      <c r="B16" s="1002" t="s">
        <v>570</v>
      </c>
      <c r="C16" s="1003"/>
      <c r="D16" s="1004"/>
      <c r="E16" s="1002" t="s">
        <v>569</v>
      </c>
      <c r="F16" s="1003"/>
      <c r="G16" s="1004"/>
      <c r="I16" s="32" t="s">
        <v>461</v>
      </c>
      <c r="J16" s="1002" t="s">
        <v>570</v>
      </c>
      <c r="K16" s="1003"/>
      <c r="L16" s="1004"/>
      <c r="M16" s="1002" t="s">
        <v>569</v>
      </c>
      <c r="N16" s="1003"/>
      <c r="O16" s="1004"/>
      <c r="Q16" s="32" t="s">
        <v>464</v>
      </c>
      <c r="R16" s="999" t="s">
        <v>570</v>
      </c>
      <c r="S16" s="1000"/>
      <c r="T16" s="1001"/>
      <c r="U16" s="999" t="s">
        <v>569</v>
      </c>
      <c r="V16" s="1000"/>
      <c r="W16" s="1001"/>
      <c r="Y16" s="32" t="s">
        <v>472</v>
      </c>
      <c r="Z16" s="999" t="s">
        <v>570</v>
      </c>
      <c r="AA16" s="1000"/>
      <c r="AB16" s="1001"/>
      <c r="AC16" s="999" t="s">
        <v>569</v>
      </c>
      <c r="AD16" s="1000"/>
      <c r="AE16" s="1001"/>
    </row>
    <row r="17" spans="1:31" s="60" customFormat="1" ht="11.5" x14ac:dyDescent="0.25">
      <c r="A17" s="213" t="s">
        <v>749</v>
      </c>
      <c r="B17" s="230" t="s">
        <v>339</v>
      </c>
      <c r="C17" s="220" t="s">
        <v>340</v>
      </c>
      <c r="D17" s="231" t="s">
        <v>153</v>
      </c>
      <c r="E17" s="228" t="s">
        <v>339</v>
      </c>
      <c r="F17" s="214" t="s">
        <v>340</v>
      </c>
      <c r="G17" s="219" t="s">
        <v>153</v>
      </c>
      <c r="H17" s="65"/>
      <c r="I17" s="213" t="s">
        <v>743</v>
      </c>
      <c r="J17" s="230" t="s">
        <v>339</v>
      </c>
      <c r="K17" s="220" t="s">
        <v>340</v>
      </c>
      <c r="L17" s="231" t="s">
        <v>153</v>
      </c>
      <c r="M17" s="228" t="s">
        <v>339</v>
      </c>
      <c r="N17" s="214" t="s">
        <v>340</v>
      </c>
      <c r="O17" s="219" t="s">
        <v>153</v>
      </c>
      <c r="P17" s="65"/>
      <c r="Q17" s="213" t="s">
        <v>743</v>
      </c>
      <c r="R17" s="230" t="s">
        <v>339</v>
      </c>
      <c r="S17" s="220" t="s">
        <v>340</v>
      </c>
      <c r="T17" s="231" t="s">
        <v>153</v>
      </c>
      <c r="U17" s="228" t="s">
        <v>339</v>
      </c>
      <c r="V17" s="214" t="s">
        <v>340</v>
      </c>
      <c r="W17" s="219" t="s">
        <v>153</v>
      </c>
      <c r="X17" s="72"/>
      <c r="Y17" s="213" t="s">
        <v>743</v>
      </c>
      <c r="Z17" s="228" t="s">
        <v>339</v>
      </c>
      <c r="AA17" s="214" t="s">
        <v>340</v>
      </c>
      <c r="AB17" s="219" t="s">
        <v>153</v>
      </c>
      <c r="AC17" s="229" t="s">
        <v>339</v>
      </c>
      <c r="AD17" s="215" t="s">
        <v>340</v>
      </c>
      <c r="AE17" s="216" t="s">
        <v>153</v>
      </c>
    </row>
    <row r="18" spans="1:31" s="72" customFormat="1" ht="11.5" x14ac:dyDescent="0.25">
      <c r="A18" s="251" t="s">
        <v>341</v>
      </c>
      <c r="B18" s="252">
        <v>0</v>
      </c>
      <c r="C18" s="253">
        <v>78.14</v>
      </c>
      <c r="D18" s="254">
        <v>78.14</v>
      </c>
      <c r="E18" s="252">
        <v>0</v>
      </c>
      <c r="F18" s="253">
        <v>95.16</v>
      </c>
      <c r="G18" s="254">
        <v>95.16</v>
      </c>
      <c r="I18" s="251" t="s">
        <v>341</v>
      </c>
      <c r="J18" s="252">
        <f t="shared" ref="J18:L18" si="0">SUM(J19:J21)</f>
        <v>0</v>
      </c>
      <c r="K18" s="253">
        <f t="shared" si="0"/>
        <v>24.43</v>
      </c>
      <c r="L18" s="254">
        <f t="shared" si="0"/>
        <v>24.43</v>
      </c>
      <c r="M18" s="252">
        <v>0</v>
      </c>
      <c r="N18" s="253">
        <v>95.16</v>
      </c>
      <c r="O18" s="254">
        <v>95.16</v>
      </c>
      <c r="P18" s="129"/>
      <c r="Q18" s="239" t="s">
        <v>341</v>
      </c>
      <c r="R18" s="236">
        <f t="shared" ref="R18:S18" si="1">SUM(R19:R21)</f>
        <v>0</v>
      </c>
      <c r="S18" s="237">
        <f t="shared" si="1"/>
        <v>0</v>
      </c>
      <c r="T18" s="238">
        <f>SUM(T19:T21)</f>
        <v>0</v>
      </c>
      <c r="U18" s="236">
        <f t="shared" ref="U18:W18" si="2">SUM(U19:U21)</f>
        <v>0</v>
      </c>
      <c r="V18" s="237">
        <f t="shared" si="2"/>
        <v>39.71</v>
      </c>
      <c r="W18" s="238">
        <f t="shared" si="2"/>
        <v>39.71</v>
      </c>
      <c r="X18" s="60"/>
      <c r="Y18" s="239" t="s">
        <v>341</v>
      </c>
      <c r="Z18" s="236">
        <f t="shared" ref="Z18:AB18" si="3">SUM(Z19:Z21)</f>
        <v>0</v>
      </c>
      <c r="AA18" s="237">
        <f t="shared" si="3"/>
        <v>14</v>
      </c>
      <c r="AB18" s="238">
        <f t="shared" si="3"/>
        <v>14</v>
      </c>
      <c r="AC18" s="240">
        <f>SUM(AC19:AC21)</f>
        <v>0</v>
      </c>
      <c r="AD18" s="241">
        <f>SUM(AD19:AD21)</f>
        <v>0</v>
      </c>
      <c r="AE18" s="242">
        <f>SUM(AE19:AE21)</f>
        <v>0</v>
      </c>
    </row>
    <row r="19" spans="1:31" s="22" customFormat="1" ht="11.5" x14ac:dyDescent="0.25">
      <c r="A19" s="813" t="s">
        <v>342</v>
      </c>
      <c r="B19" s="814">
        <v>0</v>
      </c>
      <c r="C19" s="815">
        <v>0</v>
      </c>
      <c r="D19" s="816">
        <v>0</v>
      </c>
      <c r="E19" s="814">
        <v>0</v>
      </c>
      <c r="F19" s="815">
        <v>0</v>
      </c>
      <c r="G19" s="816">
        <v>0</v>
      </c>
      <c r="I19" s="813" t="s">
        <v>747</v>
      </c>
      <c r="J19" s="814">
        <v>0</v>
      </c>
      <c r="K19" s="815">
        <v>0</v>
      </c>
      <c r="L19" s="817">
        <f>J19+K19</f>
        <v>0</v>
      </c>
      <c r="M19" s="814">
        <v>0</v>
      </c>
      <c r="N19" s="815">
        <v>0</v>
      </c>
      <c r="O19" s="816">
        <v>0</v>
      </c>
      <c r="Q19" s="813" t="s">
        <v>747</v>
      </c>
      <c r="R19" s="814">
        <v>0</v>
      </c>
      <c r="S19" s="815">
        <v>0</v>
      </c>
      <c r="T19" s="816">
        <v>0</v>
      </c>
      <c r="U19" s="814">
        <v>0</v>
      </c>
      <c r="V19" s="815">
        <v>0</v>
      </c>
      <c r="W19" s="816">
        <f>U19+V19</f>
        <v>0</v>
      </c>
      <c r="Y19" s="813" t="s">
        <v>747</v>
      </c>
      <c r="Z19" s="814">
        <v>0</v>
      </c>
      <c r="AA19" s="815">
        <v>0</v>
      </c>
      <c r="AB19" s="816">
        <f>Z19+AA19</f>
        <v>0</v>
      </c>
      <c r="AC19" s="818" t="s">
        <v>11</v>
      </c>
      <c r="AD19" s="517" t="s">
        <v>11</v>
      </c>
      <c r="AE19" s="518" t="s">
        <v>11</v>
      </c>
    </row>
    <row r="20" spans="1:31" s="22" customFormat="1" ht="11.5" x14ac:dyDescent="0.25">
      <c r="A20" s="813" t="s">
        <v>343</v>
      </c>
      <c r="B20" s="814">
        <v>0</v>
      </c>
      <c r="C20" s="815">
        <v>64.14</v>
      </c>
      <c r="D20" s="816">
        <v>64.14</v>
      </c>
      <c r="E20" s="814">
        <v>0</v>
      </c>
      <c r="F20" s="815">
        <v>95.16</v>
      </c>
      <c r="G20" s="816">
        <v>95.16</v>
      </c>
      <c r="H20" s="28"/>
      <c r="I20" s="813" t="s">
        <v>748</v>
      </c>
      <c r="J20" s="814">
        <v>0</v>
      </c>
      <c r="K20" s="815">
        <v>24.43</v>
      </c>
      <c r="L20" s="817">
        <f t="shared" ref="L20:L21" si="4">J20+K20</f>
        <v>24.43</v>
      </c>
      <c r="M20" s="814">
        <v>0</v>
      </c>
      <c r="N20" s="517">
        <v>95.16</v>
      </c>
      <c r="O20" s="816">
        <v>95.16</v>
      </c>
      <c r="Q20" s="813" t="s">
        <v>748</v>
      </c>
      <c r="R20" s="814">
        <v>0</v>
      </c>
      <c r="S20" s="815">
        <v>0</v>
      </c>
      <c r="T20" s="816">
        <v>0</v>
      </c>
      <c r="U20" s="814">
        <v>0</v>
      </c>
      <c r="V20" s="517">
        <v>39.71</v>
      </c>
      <c r="W20" s="816">
        <f>U20+V20</f>
        <v>39.71</v>
      </c>
      <c r="Y20" s="813" t="s">
        <v>748</v>
      </c>
      <c r="Z20" s="814">
        <v>0</v>
      </c>
      <c r="AA20" s="815">
        <v>0</v>
      </c>
      <c r="AB20" s="816">
        <f t="shared" ref="AB20:AB21" si="5">Z20+AA20</f>
        <v>0</v>
      </c>
      <c r="AC20" s="818" t="s">
        <v>11</v>
      </c>
      <c r="AD20" s="517" t="s">
        <v>11</v>
      </c>
      <c r="AE20" s="518" t="s">
        <v>11</v>
      </c>
    </row>
    <row r="21" spans="1:31" s="22" customFormat="1" ht="11.5" x14ac:dyDescent="0.25">
      <c r="A21" s="813" t="s">
        <v>344</v>
      </c>
      <c r="B21" s="814">
        <v>0</v>
      </c>
      <c r="C21" s="815">
        <v>14</v>
      </c>
      <c r="D21" s="816">
        <v>14</v>
      </c>
      <c r="E21" s="814">
        <v>0</v>
      </c>
      <c r="F21" s="815">
        <v>0</v>
      </c>
      <c r="G21" s="816">
        <v>0</v>
      </c>
      <c r="I21" s="813" t="s">
        <v>344</v>
      </c>
      <c r="J21" s="814">
        <v>0</v>
      </c>
      <c r="K21" s="815">
        <v>0</v>
      </c>
      <c r="L21" s="817">
        <f t="shared" si="4"/>
        <v>0</v>
      </c>
      <c r="M21" s="814">
        <v>0</v>
      </c>
      <c r="N21" s="815">
        <v>0</v>
      </c>
      <c r="O21" s="816">
        <v>0</v>
      </c>
      <c r="Q21" s="813" t="s">
        <v>344</v>
      </c>
      <c r="R21" s="814">
        <v>0</v>
      </c>
      <c r="S21" s="815">
        <v>0</v>
      </c>
      <c r="T21" s="816">
        <v>0</v>
      </c>
      <c r="U21" s="814">
        <v>0</v>
      </c>
      <c r="V21" s="815">
        <v>0</v>
      </c>
      <c r="W21" s="816">
        <f>U21+V21</f>
        <v>0</v>
      </c>
      <c r="Y21" s="813" t="s">
        <v>344</v>
      </c>
      <c r="Z21" s="814">
        <v>0</v>
      </c>
      <c r="AA21" s="815">
        <v>14</v>
      </c>
      <c r="AB21" s="816">
        <f t="shared" si="5"/>
        <v>14</v>
      </c>
      <c r="AC21" s="818" t="s">
        <v>11</v>
      </c>
      <c r="AD21" s="517" t="s">
        <v>11</v>
      </c>
      <c r="AE21" s="518" t="s">
        <v>11</v>
      </c>
    </row>
    <row r="22" spans="1:31" s="72" customFormat="1" ht="11.5" x14ac:dyDescent="0.25">
      <c r="A22" s="251" t="s">
        <v>345</v>
      </c>
      <c r="B22" s="252">
        <v>0</v>
      </c>
      <c r="C22" s="253">
        <v>1075.8899999999999</v>
      </c>
      <c r="D22" s="254">
        <v>1075.8899999999999</v>
      </c>
      <c r="E22" s="252">
        <v>0</v>
      </c>
      <c r="F22" s="253">
        <v>370.28</v>
      </c>
      <c r="G22" s="254">
        <v>370.28</v>
      </c>
      <c r="I22" s="251" t="s">
        <v>345</v>
      </c>
      <c r="J22" s="252">
        <f t="shared" ref="J22:L22" si="6">SUM(J23:J25)</f>
        <v>0</v>
      </c>
      <c r="K22" s="253">
        <f t="shared" si="6"/>
        <v>933.82999999999993</v>
      </c>
      <c r="L22" s="255">
        <f t="shared" si="6"/>
        <v>933.82999999999993</v>
      </c>
      <c r="M22" s="252">
        <v>0</v>
      </c>
      <c r="N22" s="253">
        <v>370.28</v>
      </c>
      <c r="O22" s="254">
        <v>370.28</v>
      </c>
      <c r="P22" s="68"/>
      <c r="Q22" s="239" t="s">
        <v>345</v>
      </c>
      <c r="R22" s="236">
        <f t="shared" ref="R22:W22" si="7">SUM(R23:R25)</f>
        <v>0</v>
      </c>
      <c r="S22" s="237">
        <f t="shared" si="7"/>
        <v>0</v>
      </c>
      <c r="T22" s="238">
        <f t="shared" si="7"/>
        <v>0</v>
      </c>
      <c r="U22" s="236">
        <f t="shared" si="7"/>
        <v>0</v>
      </c>
      <c r="V22" s="237">
        <f t="shared" si="7"/>
        <v>142.06</v>
      </c>
      <c r="W22" s="238">
        <f t="shared" si="7"/>
        <v>142.06</v>
      </c>
      <c r="X22" s="60"/>
      <c r="Y22" s="239" t="s">
        <v>345</v>
      </c>
      <c r="Z22" s="236">
        <f t="shared" ref="Z22:AB22" si="8">SUM(Z23:Z25)</f>
        <v>0</v>
      </c>
      <c r="AA22" s="237">
        <f t="shared" si="8"/>
        <v>0</v>
      </c>
      <c r="AB22" s="238">
        <f t="shared" si="8"/>
        <v>0</v>
      </c>
      <c r="AC22" s="240">
        <f>SUM(AC23:AC25)</f>
        <v>0</v>
      </c>
      <c r="AD22" s="241">
        <f>SUM(AD23:AD25)</f>
        <v>0</v>
      </c>
      <c r="AE22" s="242">
        <f>SUM(AE23:AE25)</f>
        <v>0</v>
      </c>
    </row>
    <row r="23" spans="1:31" s="22" customFormat="1" ht="11.5" x14ac:dyDescent="0.25">
      <c r="A23" s="813" t="s">
        <v>342</v>
      </c>
      <c r="B23" s="814">
        <v>0</v>
      </c>
      <c r="C23" s="815">
        <v>162.29</v>
      </c>
      <c r="D23" s="816">
        <v>162.29</v>
      </c>
      <c r="E23" s="814">
        <v>0</v>
      </c>
      <c r="F23" s="815">
        <v>0</v>
      </c>
      <c r="G23" s="816">
        <v>0</v>
      </c>
      <c r="I23" s="813" t="s">
        <v>342</v>
      </c>
      <c r="J23" s="814">
        <v>0</v>
      </c>
      <c r="K23" s="815">
        <v>162.29</v>
      </c>
      <c r="L23" s="817">
        <f>J23+K23</f>
        <v>162.29</v>
      </c>
      <c r="M23" s="814">
        <v>0</v>
      </c>
      <c r="N23" s="815">
        <v>0</v>
      </c>
      <c r="O23" s="816">
        <v>0</v>
      </c>
      <c r="Q23" s="813" t="s">
        <v>342</v>
      </c>
      <c r="R23" s="814">
        <v>0</v>
      </c>
      <c r="S23" s="815">
        <v>0</v>
      </c>
      <c r="T23" s="816">
        <f>SUM(Tabla1526[[#This Row],[Onsite]:[Offsite]])</f>
        <v>0</v>
      </c>
      <c r="U23" s="814">
        <v>0</v>
      </c>
      <c r="V23" s="815">
        <v>0</v>
      </c>
      <c r="W23" s="816">
        <f>U23+V23</f>
        <v>0</v>
      </c>
      <c r="Y23" s="813" t="s">
        <v>342</v>
      </c>
      <c r="Z23" s="814">
        <v>0</v>
      </c>
      <c r="AA23" s="815">
        <v>0</v>
      </c>
      <c r="AB23" s="816">
        <f>Z23+AA23</f>
        <v>0</v>
      </c>
      <c r="AC23" s="818" t="s">
        <v>11</v>
      </c>
      <c r="AD23" s="517" t="s">
        <v>11</v>
      </c>
      <c r="AE23" s="518" t="s">
        <v>11</v>
      </c>
    </row>
    <row r="24" spans="1:31" s="22" customFormat="1" ht="11.5" x14ac:dyDescent="0.25">
      <c r="A24" s="813" t="s">
        <v>343</v>
      </c>
      <c r="B24" s="814">
        <v>0</v>
      </c>
      <c r="C24" s="815">
        <v>913.59999999999991</v>
      </c>
      <c r="D24" s="816">
        <v>913.59999999999991</v>
      </c>
      <c r="E24" s="814">
        <v>0</v>
      </c>
      <c r="F24" s="815">
        <v>370.28</v>
      </c>
      <c r="G24" s="816">
        <v>370.28</v>
      </c>
      <c r="I24" s="813" t="s">
        <v>343</v>
      </c>
      <c r="J24" s="814">
        <v>0</v>
      </c>
      <c r="K24" s="815">
        <v>771.54</v>
      </c>
      <c r="L24" s="817">
        <f t="shared" ref="L24:L25" si="9">J24+K24</f>
        <v>771.54</v>
      </c>
      <c r="M24" s="814">
        <v>0</v>
      </c>
      <c r="N24" s="517">
        <v>370.28</v>
      </c>
      <c r="O24" s="816">
        <v>370.28</v>
      </c>
      <c r="Q24" s="813" t="s">
        <v>343</v>
      </c>
      <c r="R24" s="814">
        <v>0</v>
      </c>
      <c r="S24" s="815">
        <v>0</v>
      </c>
      <c r="T24" s="816">
        <f>SUM(Tabla1526[[#This Row],[Onsite]:[Offsite]])</f>
        <v>0</v>
      </c>
      <c r="U24" s="814">
        <v>0</v>
      </c>
      <c r="V24" s="517">
        <v>142.06</v>
      </c>
      <c r="W24" s="816">
        <f>U24+V24</f>
        <v>142.06</v>
      </c>
      <c r="Y24" s="813" t="s">
        <v>343</v>
      </c>
      <c r="Z24" s="814">
        <v>0</v>
      </c>
      <c r="AA24" s="815">
        <v>0</v>
      </c>
      <c r="AB24" s="816">
        <f t="shared" ref="AB24:AB25" si="10">Z24+AA24</f>
        <v>0</v>
      </c>
      <c r="AC24" s="818" t="s">
        <v>11</v>
      </c>
      <c r="AD24" s="517" t="s">
        <v>11</v>
      </c>
      <c r="AE24" s="518" t="s">
        <v>11</v>
      </c>
    </row>
    <row r="25" spans="1:31" s="22" customFormat="1" ht="12" thickBot="1" x14ac:dyDescent="0.3">
      <c r="A25" s="819" t="s">
        <v>344</v>
      </c>
      <c r="B25" s="820">
        <v>0</v>
      </c>
      <c r="C25" s="821">
        <v>0</v>
      </c>
      <c r="D25" s="822">
        <v>0</v>
      </c>
      <c r="E25" s="820">
        <v>0</v>
      </c>
      <c r="F25" s="821">
        <v>0</v>
      </c>
      <c r="G25" s="822">
        <v>0</v>
      </c>
      <c r="I25" s="819" t="s">
        <v>344</v>
      </c>
      <c r="J25" s="820">
        <v>0</v>
      </c>
      <c r="K25" s="821">
        <v>0</v>
      </c>
      <c r="L25" s="823">
        <f t="shared" si="9"/>
        <v>0</v>
      </c>
      <c r="M25" s="820">
        <v>0</v>
      </c>
      <c r="N25" s="821">
        <v>0</v>
      </c>
      <c r="O25" s="822">
        <v>0</v>
      </c>
      <c r="Q25" s="819" t="s">
        <v>344</v>
      </c>
      <c r="R25" s="820">
        <v>0</v>
      </c>
      <c r="S25" s="821">
        <v>0</v>
      </c>
      <c r="T25" s="822">
        <f>SUM(Tabla1526[[#This Row],[Onsite]:[Offsite]])</f>
        <v>0</v>
      </c>
      <c r="U25" s="820">
        <v>0</v>
      </c>
      <c r="V25" s="821">
        <v>0</v>
      </c>
      <c r="W25" s="822">
        <f>U25+V25</f>
        <v>0</v>
      </c>
      <c r="Y25" s="819" t="s">
        <v>344</v>
      </c>
      <c r="Z25" s="820">
        <v>0</v>
      </c>
      <c r="AA25" s="821">
        <v>0</v>
      </c>
      <c r="AB25" s="822">
        <f t="shared" si="10"/>
        <v>0</v>
      </c>
      <c r="AC25" s="824" t="s">
        <v>11</v>
      </c>
      <c r="AD25" s="499" t="s">
        <v>11</v>
      </c>
      <c r="AE25" s="825" t="s">
        <v>11</v>
      </c>
    </row>
    <row r="26" spans="1:31" s="22" customFormat="1" ht="12" thickTop="1" x14ac:dyDescent="0.25">
      <c r="A26" s="826" t="s">
        <v>346</v>
      </c>
      <c r="B26" s="827">
        <v>0</v>
      </c>
      <c r="C26" s="828">
        <v>1154.03</v>
      </c>
      <c r="D26" s="829">
        <v>1154.03</v>
      </c>
      <c r="E26" s="827">
        <v>0</v>
      </c>
      <c r="F26" s="828">
        <v>465.43999999999994</v>
      </c>
      <c r="G26" s="829">
        <v>465.43999999999994</v>
      </c>
      <c r="I26" s="826" t="s">
        <v>346</v>
      </c>
      <c r="J26" s="827">
        <f t="shared" ref="J26:L26" si="11">SUM(J18+J22)</f>
        <v>0</v>
      </c>
      <c r="K26" s="828">
        <f t="shared" si="11"/>
        <v>958.25999999999988</v>
      </c>
      <c r="L26" s="829">
        <f t="shared" si="11"/>
        <v>958.25999999999988</v>
      </c>
      <c r="M26" s="827">
        <v>0</v>
      </c>
      <c r="N26" s="828">
        <v>465.43999999999994</v>
      </c>
      <c r="O26" s="829">
        <v>465.43999999999994</v>
      </c>
      <c r="Q26" s="826" t="s">
        <v>346</v>
      </c>
      <c r="R26" s="827">
        <f t="shared" ref="R26:W26" si="12">SUM(R18+R22)</f>
        <v>0</v>
      </c>
      <c r="S26" s="828">
        <f t="shared" si="12"/>
        <v>0</v>
      </c>
      <c r="T26" s="829">
        <f t="shared" si="12"/>
        <v>0</v>
      </c>
      <c r="U26" s="827">
        <f t="shared" si="12"/>
        <v>0</v>
      </c>
      <c r="V26" s="828">
        <f t="shared" si="12"/>
        <v>181.77</v>
      </c>
      <c r="W26" s="829">
        <f t="shared" si="12"/>
        <v>181.77</v>
      </c>
      <c r="Y26" s="826" t="s">
        <v>346</v>
      </c>
      <c r="Z26" s="827">
        <f t="shared" ref="Z26:AB26" si="13">SUM(Z18+Z22)</f>
        <v>0</v>
      </c>
      <c r="AA26" s="828">
        <f t="shared" si="13"/>
        <v>14</v>
      </c>
      <c r="AB26" s="829">
        <f t="shared" si="13"/>
        <v>14</v>
      </c>
      <c r="AC26" s="830">
        <f>SUM(AC18+AC22)</f>
        <v>0</v>
      </c>
      <c r="AD26" s="831">
        <f>SUM(AD18+AD22)</f>
        <v>0</v>
      </c>
      <c r="AE26" s="832">
        <f>SUM(AE18+AE22)</f>
        <v>0</v>
      </c>
    </row>
    <row r="27" spans="1:31" s="134" customFormat="1" ht="13" x14ac:dyDescent="0.3">
      <c r="A27" s="130"/>
      <c r="B27" s="130"/>
      <c r="C27" s="130"/>
      <c r="D27" s="131"/>
      <c r="E27" s="132"/>
      <c r="F27" s="133"/>
    </row>
    <row r="28" spans="1:31" ht="20.149999999999999" customHeight="1" thickBot="1" x14ac:dyDescent="0.4">
      <c r="A28" s="935" t="s">
        <v>48</v>
      </c>
      <c r="B28" s="935"/>
      <c r="C28" s="935"/>
      <c r="D28" s="935"/>
      <c r="E28" s="935"/>
      <c r="F28" s="935"/>
      <c r="G28" s="935"/>
      <c r="H28" s="935"/>
      <c r="I28" s="935"/>
      <c r="J28" s="935"/>
      <c r="K28" s="935"/>
      <c r="L28" s="935"/>
    </row>
    <row r="29" spans="1:31" s="46" customFormat="1" x14ac:dyDescent="0.3">
      <c r="A29" s="17" t="s">
        <v>347</v>
      </c>
    </row>
    <row r="31" spans="1:31" s="22" customFormat="1" ht="11.5" x14ac:dyDescent="0.25">
      <c r="A31" s="32" t="s">
        <v>471</v>
      </c>
      <c r="B31" s="1002" t="s">
        <v>570</v>
      </c>
      <c r="C31" s="1003"/>
      <c r="D31" s="1004"/>
      <c r="E31" s="1002" t="s">
        <v>569</v>
      </c>
      <c r="F31" s="1003"/>
      <c r="G31" s="1004"/>
      <c r="I31" s="32" t="s">
        <v>461</v>
      </c>
      <c r="J31" s="1002" t="s">
        <v>570</v>
      </c>
      <c r="K31" s="1003"/>
      <c r="L31" s="1004"/>
      <c r="M31" s="1002" t="s">
        <v>569</v>
      </c>
      <c r="N31" s="1003"/>
      <c r="O31" s="1004"/>
      <c r="Q31" s="32" t="s">
        <v>464</v>
      </c>
      <c r="R31" s="999" t="s">
        <v>570</v>
      </c>
      <c r="S31" s="1000"/>
      <c r="T31" s="1001"/>
      <c r="U31" s="999" t="s">
        <v>569</v>
      </c>
      <c r="V31" s="1000"/>
      <c r="W31" s="1001"/>
      <c r="Y31" s="32" t="s">
        <v>472</v>
      </c>
      <c r="Z31" s="999" t="s">
        <v>570</v>
      </c>
      <c r="AA31" s="1000"/>
      <c r="AB31" s="1001"/>
      <c r="AC31" s="999" t="s">
        <v>569</v>
      </c>
      <c r="AD31" s="1000"/>
      <c r="AE31" s="1001"/>
    </row>
    <row r="32" spans="1:31" s="60" customFormat="1" ht="11.5" x14ac:dyDescent="0.25">
      <c r="A32" s="221" t="s">
        <v>751</v>
      </c>
      <c r="B32" s="249" t="s">
        <v>339</v>
      </c>
      <c r="C32" s="149" t="s">
        <v>340</v>
      </c>
      <c r="D32" s="250" t="s">
        <v>153</v>
      </c>
      <c r="E32" s="249" t="s">
        <v>744</v>
      </c>
      <c r="F32" s="149" t="s">
        <v>1114</v>
      </c>
      <c r="G32" s="250" t="s">
        <v>406</v>
      </c>
      <c r="H32" s="68"/>
      <c r="I32" s="221" t="s">
        <v>348</v>
      </c>
      <c r="J32" s="247" t="s">
        <v>744</v>
      </c>
      <c r="K32" s="246" t="s">
        <v>745</v>
      </c>
      <c r="L32" s="248" t="s">
        <v>746</v>
      </c>
      <c r="M32" s="249" t="s">
        <v>1111</v>
      </c>
      <c r="N32" s="149" t="s">
        <v>1112</v>
      </c>
      <c r="O32" s="250" t="s">
        <v>1113</v>
      </c>
      <c r="P32" s="68"/>
      <c r="Q32" s="221" t="s">
        <v>348</v>
      </c>
      <c r="R32" s="232" t="s">
        <v>744</v>
      </c>
      <c r="S32" s="233" t="s">
        <v>745</v>
      </c>
      <c r="T32" s="234" t="s">
        <v>746</v>
      </c>
      <c r="U32" s="232" t="s">
        <v>339</v>
      </c>
      <c r="V32" s="233" t="s">
        <v>340</v>
      </c>
      <c r="W32" s="234" t="s">
        <v>153</v>
      </c>
      <c r="Y32" s="217" t="s">
        <v>348</v>
      </c>
      <c r="Z32" s="226" t="s">
        <v>339</v>
      </c>
      <c r="AA32" s="218" t="s">
        <v>340</v>
      </c>
      <c r="AB32" s="227" t="s">
        <v>153</v>
      </c>
      <c r="AC32" s="228" t="s">
        <v>339</v>
      </c>
      <c r="AD32" s="214" t="s">
        <v>340</v>
      </c>
      <c r="AE32" s="219" t="s">
        <v>153</v>
      </c>
    </row>
    <row r="33" spans="1:31" s="72" customFormat="1" ht="11.5" x14ac:dyDescent="0.25">
      <c r="A33" s="256" t="s">
        <v>341</v>
      </c>
      <c r="B33" s="252">
        <f t="shared" ref="B33:D33" si="14">SUM(B34:B37)</f>
        <v>0</v>
      </c>
      <c r="C33" s="253">
        <f t="shared" si="14"/>
        <v>70</v>
      </c>
      <c r="D33" s="254">
        <f t="shared" si="14"/>
        <v>70</v>
      </c>
      <c r="E33" s="252">
        <v>0</v>
      </c>
      <c r="F33" s="253">
        <v>524.5</v>
      </c>
      <c r="G33" s="254">
        <v>524.5</v>
      </c>
      <c r="I33" s="256" t="s">
        <v>341</v>
      </c>
      <c r="J33" s="252">
        <f t="shared" ref="J33:L33" si="15">SUM(J34:J37)</f>
        <v>0</v>
      </c>
      <c r="K33" s="253">
        <f t="shared" si="15"/>
        <v>0</v>
      </c>
      <c r="L33" s="254">
        <f t="shared" si="15"/>
        <v>0</v>
      </c>
      <c r="M33" s="257">
        <v>0</v>
      </c>
      <c r="N33" s="258">
        <v>524.5</v>
      </c>
      <c r="O33" s="259">
        <v>524.5</v>
      </c>
      <c r="Q33" s="235" t="s">
        <v>341</v>
      </c>
      <c r="R33" s="236">
        <f t="shared" ref="R33:T33" si="16">SUM(R34:R37)</f>
        <v>0</v>
      </c>
      <c r="S33" s="237">
        <f t="shared" si="16"/>
        <v>0</v>
      </c>
      <c r="T33" s="238">
        <f t="shared" si="16"/>
        <v>0</v>
      </c>
      <c r="U33" s="236">
        <f>SUM(U34:U37)</f>
        <v>0</v>
      </c>
      <c r="V33" s="237">
        <f>SUM(V34:V37)</f>
        <v>0</v>
      </c>
      <c r="W33" s="238">
        <f>SUM(W34:W37)</f>
        <v>0</v>
      </c>
      <c r="Y33" s="239" t="s">
        <v>341</v>
      </c>
      <c r="Z33" s="236">
        <f t="shared" ref="Z33:AB33" si="17">SUM(Z34:Z37)</f>
        <v>0</v>
      </c>
      <c r="AA33" s="237">
        <f t="shared" si="17"/>
        <v>70</v>
      </c>
      <c r="AB33" s="238">
        <f t="shared" si="17"/>
        <v>70</v>
      </c>
      <c r="AC33" s="236">
        <f>SUM(AC34:AC37)</f>
        <v>0</v>
      </c>
      <c r="AD33" s="237">
        <f>SUM(AD34:AD37)</f>
        <v>0</v>
      </c>
      <c r="AE33" s="238">
        <v>0</v>
      </c>
    </row>
    <row r="34" spans="1:31" s="22" customFormat="1" ht="11.5" x14ac:dyDescent="0.25">
      <c r="A34" s="833" t="s">
        <v>349</v>
      </c>
      <c r="B34" s="818">
        <f t="shared" ref="B34:C37" si="18">SUM(J34+R34+Z34)</f>
        <v>0</v>
      </c>
      <c r="C34" s="517">
        <f t="shared" si="18"/>
        <v>0</v>
      </c>
      <c r="D34" s="816">
        <f>SUM(B34+C34)</f>
        <v>0</v>
      </c>
      <c r="E34" s="818">
        <v>0</v>
      </c>
      <c r="F34" s="517">
        <v>0</v>
      </c>
      <c r="G34" s="816">
        <v>0</v>
      </c>
      <c r="I34" s="833" t="s">
        <v>349</v>
      </c>
      <c r="J34" s="818">
        <v>0</v>
      </c>
      <c r="K34" s="517">
        <v>0</v>
      </c>
      <c r="L34" s="816">
        <f>SUM(J34+K34)</f>
        <v>0</v>
      </c>
      <c r="M34" s="834">
        <v>0</v>
      </c>
      <c r="N34" s="782">
        <v>0</v>
      </c>
      <c r="O34" s="835">
        <v>0</v>
      </c>
      <c r="Q34" s="833" t="s">
        <v>349</v>
      </c>
      <c r="R34" s="818">
        <v>0</v>
      </c>
      <c r="S34" s="517">
        <v>0</v>
      </c>
      <c r="T34" s="816">
        <f>SUM(R34+S34)</f>
        <v>0</v>
      </c>
      <c r="U34" s="818">
        <v>0</v>
      </c>
      <c r="V34" s="517">
        <v>0</v>
      </c>
      <c r="W34" s="816">
        <v>0</v>
      </c>
      <c r="Y34" s="813" t="s">
        <v>349</v>
      </c>
      <c r="Z34" s="818">
        <v>0</v>
      </c>
      <c r="AA34" s="517">
        <v>0</v>
      </c>
      <c r="AB34" s="816">
        <f>SUM(Z34+AA34)</f>
        <v>0</v>
      </c>
      <c r="AC34" s="818" t="s">
        <v>11</v>
      </c>
      <c r="AD34" s="517" t="s">
        <v>11</v>
      </c>
      <c r="AE34" s="816">
        <v>0</v>
      </c>
    </row>
    <row r="35" spans="1:31" s="22" customFormat="1" ht="11.5" x14ac:dyDescent="0.25">
      <c r="A35" s="833" t="s">
        <v>350</v>
      </c>
      <c r="B35" s="818">
        <f t="shared" si="18"/>
        <v>0</v>
      </c>
      <c r="C35" s="517">
        <f t="shared" si="18"/>
        <v>0</v>
      </c>
      <c r="D35" s="816">
        <f t="shared" ref="D35:D37" si="19">SUM(B35+C35)</f>
        <v>0</v>
      </c>
      <c r="E35" s="818">
        <v>0</v>
      </c>
      <c r="F35" s="517">
        <v>0</v>
      </c>
      <c r="G35" s="816">
        <v>0</v>
      </c>
      <c r="I35" s="833" t="s">
        <v>350</v>
      </c>
      <c r="J35" s="818">
        <v>0</v>
      </c>
      <c r="K35" s="517">
        <v>0</v>
      </c>
      <c r="L35" s="816">
        <f t="shared" ref="L35:L37" si="20">SUM(J35+K35)</f>
        <v>0</v>
      </c>
      <c r="M35" s="834">
        <v>0</v>
      </c>
      <c r="N35" s="782">
        <v>0</v>
      </c>
      <c r="O35" s="835">
        <v>0</v>
      </c>
      <c r="Q35" s="833" t="s">
        <v>350</v>
      </c>
      <c r="R35" s="818">
        <v>0</v>
      </c>
      <c r="S35" s="517">
        <v>0</v>
      </c>
      <c r="T35" s="816">
        <f>SUM(R35+S35)</f>
        <v>0</v>
      </c>
      <c r="U35" s="818">
        <v>0</v>
      </c>
      <c r="V35" s="517">
        <v>0</v>
      </c>
      <c r="W35" s="816">
        <v>0</v>
      </c>
      <c r="Y35" s="813" t="s">
        <v>350</v>
      </c>
      <c r="Z35" s="818">
        <v>0</v>
      </c>
      <c r="AA35" s="517">
        <v>0</v>
      </c>
      <c r="AB35" s="816">
        <f>SUM(Z35+AA35)</f>
        <v>0</v>
      </c>
      <c r="AC35" s="818" t="s">
        <v>11</v>
      </c>
      <c r="AD35" s="517" t="s">
        <v>11</v>
      </c>
      <c r="AE35" s="816">
        <v>0</v>
      </c>
    </row>
    <row r="36" spans="1:31" s="22" customFormat="1" ht="11.5" x14ac:dyDescent="0.25">
      <c r="A36" s="833" t="s">
        <v>351</v>
      </c>
      <c r="B36" s="818">
        <f t="shared" si="18"/>
        <v>0</v>
      </c>
      <c r="C36" s="517">
        <f t="shared" si="18"/>
        <v>70</v>
      </c>
      <c r="D36" s="816">
        <f t="shared" si="19"/>
        <v>70</v>
      </c>
      <c r="E36" s="818">
        <v>0</v>
      </c>
      <c r="F36" s="517">
        <v>0</v>
      </c>
      <c r="G36" s="816">
        <v>0</v>
      </c>
      <c r="I36" s="833" t="s">
        <v>351</v>
      </c>
      <c r="J36" s="818">
        <v>0</v>
      </c>
      <c r="K36" s="517">
        <v>0</v>
      </c>
      <c r="L36" s="816">
        <f t="shared" si="20"/>
        <v>0</v>
      </c>
      <c r="M36" s="834">
        <v>0</v>
      </c>
      <c r="N36" s="782">
        <v>0</v>
      </c>
      <c r="O36" s="835">
        <v>0</v>
      </c>
      <c r="Q36" s="833" t="s">
        <v>351</v>
      </c>
      <c r="R36" s="818">
        <v>0</v>
      </c>
      <c r="S36" s="517">
        <v>0</v>
      </c>
      <c r="T36" s="816">
        <f>SUM(R36+S36)</f>
        <v>0</v>
      </c>
      <c r="U36" s="818">
        <v>0</v>
      </c>
      <c r="V36" s="517">
        <v>0</v>
      </c>
      <c r="W36" s="816">
        <v>0</v>
      </c>
      <c r="Y36" s="813" t="s">
        <v>351</v>
      </c>
      <c r="Z36" s="818">
        <v>0</v>
      </c>
      <c r="AA36" s="517">
        <v>70</v>
      </c>
      <c r="AB36" s="816">
        <f>SUM(Z36+AA36)</f>
        <v>70</v>
      </c>
      <c r="AC36" s="818" t="s">
        <v>11</v>
      </c>
      <c r="AD36" s="517" t="s">
        <v>11</v>
      </c>
      <c r="AE36" s="816">
        <v>0</v>
      </c>
    </row>
    <row r="37" spans="1:31" s="22" customFormat="1" ht="11.5" x14ac:dyDescent="0.25">
      <c r="A37" s="833" t="s">
        <v>352</v>
      </c>
      <c r="B37" s="818">
        <f t="shared" si="18"/>
        <v>0</v>
      </c>
      <c r="C37" s="517">
        <f t="shared" si="18"/>
        <v>0</v>
      </c>
      <c r="D37" s="816">
        <f t="shared" si="19"/>
        <v>0</v>
      </c>
      <c r="E37" s="818">
        <v>0</v>
      </c>
      <c r="F37" s="517">
        <v>524.5</v>
      </c>
      <c r="G37" s="816">
        <v>524.5</v>
      </c>
      <c r="I37" s="833" t="s">
        <v>352</v>
      </c>
      <c r="J37" s="818">
        <v>0</v>
      </c>
      <c r="K37" s="517">
        <v>0</v>
      </c>
      <c r="L37" s="816">
        <f t="shared" si="20"/>
        <v>0</v>
      </c>
      <c r="M37" s="834">
        <v>0</v>
      </c>
      <c r="N37" s="782">
        <v>524.5</v>
      </c>
      <c r="O37" s="835">
        <v>524.5</v>
      </c>
      <c r="Q37" s="833" t="s">
        <v>352</v>
      </c>
      <c r="R37" s="818">
        <v>0</v>
      </c>
      <c r="S37" s="517">
        <v>0</v>
      </c>
      <c r="T37" s="816">
        <f>SUM(R37+S37)</f>
        <v>0</v>
      </c>
      <c r="U37" s="818">
        <v>0</v>
      </c>
      <c r="V37" s="517">
        <v>0</v>
      </c>
      <c r="W37" s="816">
        <v>0</v>
      </c>
      <c r="Y37" s="813" t="s">
        <v>352</v>
      </c>
      <c r="Z37" s="818">
        <v>0</v>
      </c>
      <c r="AA37" s="517">
        <v>0</v>
      </c>
      <c r="AB37" s="816">
        <f>SUM(Z37+AA37)</f>
        <v>0</v>
      </c>
      <c r="AC37" s="818" t="s">
        <v>11</v>
      </c>
      <c r="AD37" s="517" t="s">
        <v>11</v>
      </c>
      <c r="AE37" s="816">
        <v>0</v>
      </c>
    </row>
    <row r="38" spans="1:31" s="72" customFormat="1" ht="11.5" x14ac:dyDescent="0.25">
      <c r="A38" s="256" t="s">
        <v>345</v>
      </c>
      <c r="B38" s="252">
        <f t="shared" ref="B38:D38" si="21">SUM(B39:B42)</f>
        <v>436.13</v>
      </c>
      <c r="C38" s="253">
        <f t="shared" si="21"/>
        <v>0</v>
      </c>
      <c r="D38" s="254">
        <f t="shared" si="21"/>
        <v>436.13</v>
      </c>
      <c r="E38" s="252">
        <v>264.60000000000002</v>
      </c>
      <c r="F38" s="253">
        <v>0</v>
      </c>
      <c r="G38" s="254">
        <v>264.60000000000002</v>
      </c>
      <c r="I38" s="256" t="s">
        <v>345</v>
      </c>
      <c r="J38" s="252">
        <f t="shared" ref="J38:K38" si="22">SUM(J39:J42)</f>
        <v>155.13</v>
      </c>
      <c r="K38" s="253">
        <f t="shared" si="22"/>
        <v>0</v>
      </c>
      <c r="L38" s="254">
        <f>SUM(L39:L42)</f>
        <v>155.13</v>
      </c>
      <c r="M38" s="257">
        <v>264.60000000000002</v>
      </c>
      <c r="N38" s="258">
        <v>0</v>
      </c>
      <c r="O38" s="259">
        <v>264.60000000000002</v>
      </c>
      <c r="Q38" s="235" t="s">
        <v>345</v>
      </c>
      <c r="R38" s="236">
        <f t="shared" ref="R38:T38" si="23">SUM(R39:R42)</f>
        <v>281</v>
      </c>
      <c r="S38" s="237">
        <f t="shared" si="23"/>
        <v>0</v>
      </c>
      <c r="T38" s="238">
        <f t="shared" si="23"/>
        <v>281</v>
      </c>
      <c r="U38" s="236">
        <f>SUM(U39:U42)</f>
        <v>0</v>
      </c>
      <c r="V38" s="237">
        <f>SUM(V39:V42)</f>
        <v>0</v>
      </c>
      <c r="W38" s="238">
        <f>SUM(W39:W42)</f>
        <v>0</v>
      </c>
      <c r="Y38" s="239" t="s">
        <v>345</v>
      </c>
      <c r="Z38" s="236">
        <f t="shared" ref="Z38:AB38" si="24">SUM(Z39:Z42)</f>
        <v>0</v>
      </c>
      <c r="AA38" s="237">
        <f t="shared" si="24"/>
        <v>0</v>
      </c>
      <c r="AB38" s="238">
        <f t="shared" si="24"/>
        <v>0</v>
      </c>
      <c r="AC38" s="236">
        <f>SUM(AC39:AC42)</f>
        <v>0</v>
      </c>
      <c r="AD38" s="237">
        <f>SUM(AD39:AD42)</f>
        <v>0</v>
      </c>
      <c r="AE38" s="238">
        <v>0</v>
      </c>
    </row>
    <row r="39" spans="1:31" s="22" customFormat="1" ht="11.5" x14ac:dyDescent="0.25">
      <c r="A39" s="833" t="s">
        <v>349</v>
      </c>
      <c r="B39" s="818">
        <f t="shared" ref="B39:C42" si="25">SUM(J39+R39+Z39)</f>
        <v>0</v>
      </c>
      <c r="C39" s="517">
        <f t="shared" si="25"/>
        <v>0</v>
      </c>
      <c r="D39" s="816">
        <f>SUM(B39+Tabla163645[[#This Row],[Offsite]])</f>
        <v>0</v>
      </c>
      <c r="E39" s="818">
        <v>0</v>
      </c>
      <c r="F39" s="517">
        <v>0</v>
      </c>
      <c r="G39" s="816">
        <v>0</v>
      </c>
      <c r="I39" s="833" t="s">
        <v>349</v>
      </c>
      <c r="J39" s="818">
        <v>0</v>
      </c>
      <c r="K39" s="517">
        <v>0</v>
      </c>
      <c r="L39" s="816">
        <f>SUM(J39+Tabla16[[#This Row],[Offsite3]])</f>
        <v>0</v>
      </c>
      <c r="M39" s="834">
        <v>0</v>
      </c>
      <c r="N39" s="782">
        <v>0</v>
      </c>
      <c r="O39" s="835">
        <v>0</v>
      </c>
      <c r="Q39" s="833" t="s">
        <v>349</v>
      </c>
      <c r="R39" s="818">
        <v>0</v>
      </c>
      <c r="S39" s="517">
        <v>0</v>
      </c>
      <c r="T39" s="816">
        <f>SUM(Tabla1636[[#This Row],[Onsite2]:[Offsite3]])</f>
        <v>0</v>
      </c>
      <c r="U39" s="818">
        <v>0</v>
      </c>
      <c r="V39" s="517">
        <v>0</v>
      </c>
      <c r="W39" s="816">
        <v>0</v>
      </c>
      <c r="Y39" s="813" t="s">
        <v>349</v>
      </c>
      <c r="Z39" s="818">
        <v>0</v>
      </c>
      <c r="AA39" s="517">
        <v>0</v>
      </c>
      <c r="AB39" s="816">
        <f>SUM(Z39+Tabla1638[[#This Row],[Offsite]])</f>
        <v>0</v>
      </c>
      <c r="AC39" s="818" t="s">
        <v>11</v>
      </c>
      <c r="AD39" s="517" t="s">
        <v>11</v>
      </c>
      <c r="AE39" s="816">
        <v>0</v>
      </c>
    </row>
    <row r="40" spans="1:31" s="22" customFormat="1" ht="11.5" x14ac:dyDescent="0.25">
      <c r="A40" s="833" t="s">
        <v>350</v>
      </c>
      <c r="B40" s="818">
        <f t="shared" si="25"/>
        <v>0</v>
      </c>
      <c r="C40" s="517">
        <f t="shared" si="25"/>
        <v>0</v>
      </c>
      <c r="D40" s="816">
        <f>SUM(B40+Tabla163645[[#This Row],[Offsite]])</f>
        <v>0</v>
      </c>
      <c r="E40" s="818">
        <v>0</v>
      </c>
      <c r="F40" s="517">
        <v>0</v>
      </c>
      <c r="G40" s="816">
        <v>0</v>
      </c>
      <c r="I40" s="833" t="s">
        <v>350</v>
      </c>
      <c r="J40" s="818">
        <v>0</v>
      </c>
      <c r="K40" s="517">
        <v>0</v>
      </c>
      <c r="L40" s="816">
        <f>SUM(J40+Tabla16[[#This Row],[Offsite3]])</f>
        <v>0</v>
      </c>
      <c r="M40" s="834">
        <v>0</v>
      </c>
      <c r="N40" s="782">
        <v>0</v>
      </c>
      <c r="O40" s="835">
        <v>0</v>
      </c>
      <c r="Q40" s="833" t="s">
        <v>350</v>
      </c>
      <c r="R40" s="818">
        <v>0</v>
      </c>
      <c r="S40" s="517">
        <v>0</v>
      </c>
      <c r="T40" s="816">
        <f>SUM(Tabla1636[[#This Row],[Onsite2]:[Offsite3]])</f>
        <v>0</v>
      </c>
      <c r="U40" s="818">
        <v>0</v>
      </c>
      <c r="V40" s="517">
        <v>0</v>
      </c>
      <c r="W40" s="816">
        <v>0</v>
      </c>
      <c r="Y40" s="813" t="s">
        <v>350</v>
      </c>
      <c r="Z40" s="818">
        <v>0</v>
      </c>
      <c r="AA40" s="517">
        <v>0</v>
      </c>
      <c r="AB40" s="816">
        <f>SUM(Z40+Tabla1638[[#This Row],[Offsite]])</f>
        <v>0</v>
      </c>
      <c r="AC40" s="818" t="s">
        <v>11</v>
      </c>
      <c r="AD40" s="517" t="s">
        <v>11</v>
      </c>
      <c r="AE40" s="816">
        <v>0</v>
      </c>
    </row>
    <row r="41" spans="1:31" s="22" customFormat="1" ht="11.5" x14ac:dyDescent="0.25">
      <c r="A41" s="833" t="s">
        <v>351</v>
      </c>
      <c r="B41" s="818">
        <f t="shared" si="25"/>
        <v>155.13</v>
      </c>
      <c r="C41" s="517">
        <f t="shared" si="25"/>
        <v>0</v>
      </c>
      <c r="D41" s="816">
        <f>SUM(B41+Tabla163645[[#This Row],[Offsite]])</f>
        <v>155.13</v>
      </c>
      <c r="E41" s="818">
        <v>264.60000000000002</v>
      </c>
      <c r="F41" s="517">
        <v>0</v>
      </c>
      <c r="G41" s="816">
        <v>264.60000000000002</v>
      </c>
      <c r="I41" s="833" t="s">
        <v>351</v>
      </c>
      <c r="J41" s="818">
        <v>155.13</v>
      </c>
      <c r="K41" s="517">
        <v>0</v>
      </c>
      <c r="L41" s="816">
        <f>SUM(J41+Tabla16[[#This Row],[Offsite3]])</f>
        <v>155.13</v>
      </c>
      <c r="M41" s="834">
        <v>264.60000000000002</v>
      </c>
      <c r="N41" s="782">
        <v>0</v>
      </c>
      <c r="O41" s="835">
        <v>264.60000000000002</v>
      </c>
      <c r="Q41" s="833" t="s">
        <v>351</v>
      </c>
      <c r="R41" s="818">
        <v>0</v>
      </c>
      <c r="S41" s="517">
        <v>0</v>
      </c>
      <c r="T41" s="816">
        <f>SUM(Tabla1636[[#This Row],[Onsite2]:[Offsite3]])</f>
        <v>0</v>
      </c>
      <c r="U41" s="818">
        <v>0</v>
      </c>
      <c r="V41" s="517">
        <v>0</v>
      </c>
      <c r="W41" s="816">
        <v>0</v>
      </c>
      <c r="Y41" s="813" t="s">
        <v>351</v>
      </c>
      <c r="Z41" s="818">
        <v>0</v>
      </c>
      <c r="AA41" s="517">
        <v>0</v>
      </c>
      <c r="AB41" s="816">
        <f>SUM(Z41+Tabla1638[[#This Row],[Offsite]])</f>
        <v>0</v>
      </c>
      <c r="AC41" s="818" t="s">
        <v>11</v>
      </c>
      <c r="AD41" s="517" t="s">
        <v>11</v>
      </c>
      <c r="AE41" s="816">
        <v>0</v>
      </c>
    </row>
    <row r="42" spans="1:31" s="22" customFormat="1" ht="12" thickBot="1" x14ac:dyDescent="0.3">
      <c r="A42" s="836" t="s">
        <v>352</v>
      </c>
      <c r="B42" s="824">
        <f t="shared" si="25"/>
        <v>281</v>
      </c>
      <c r="C42" s="499">
        <f t="shared" si="25"/>
        <v>0</v>
      </c>
      <c r="D42" s="822">
        <f>SUM(B42+Tabla163645[[#This Row],[Offsite]])</f>
        <v>281</v>
      </c>
      <c r="E42" s="824">
        <v>0</v>
      </c>
      <c r="F42" s="499">
        <v>0</v>
      </c>
      <c r="G42" s="822">
        <v>0</v>
      </c>
      <c r="I42" s="836" t="s">
        <v>352</v>
      </c>
      <c r="J42" s="824">
        <v>0</v>
      </c>
      <c r="K42" s="499">
        <v>0</v>
      </c>
      <c r="L42" s="822">
        <f>SUM(J42+Tabla16[[#This Row],[Offsite3]])</f>
        <v>0</v>
      </c>
      <c r="M42" s="837">
        <v>0</v>
      </c>
      <c r="N42" s="838">
        <v>0</v>
      </c>
      <c r="O42" s="839">
        <v>0</v>
      </c>
      <c r="Q42" s="836" t="s">
        <v>352</v>
      </c>
      <c r="R42" s="824">
        <v>281</v>
      </c>
      <c r="S42" s="499">
        <v>0</v>
      </c>
      <c r="T42" s="822">
        <f>SUM(Tabla1636[[#This Row],[Onsite2]:[Offsite3]])</f>
        <v>281</v>
      </c>
      <c r="U42" s="824">
        <v>0</v>
      </c>
      <c r="V42" s="499">
        <v>0</v>
      </c>
      <c r="W42" s="822">
        <v>0</v>
      </c>
      <c r="Y42" s="819" t="s">
        <v>352</v>
      </c>
      <c r="Z42" s="824">
        <v>0</v>
      </c>
      <c r="AA42" s="499">
        <v>0</v>
      </c>
      <c r="AB42" s="822">
        <f>SUM(Z42+Tabla1638[[#This Row],[Offsite]])</f>
        <v>0</v>
      </c>
      <c r="AC42" s="824" t="s">
        <v>11</v>
      </c>
      <c r="AD42" s="499" t="s">
        <v>11</v>
      </c>
      <c r="AE42" s="822">
        <v>0</v>
      </c>
    </row>
    <row r="43" spans="1:31" s="22" customFormat="1" ht="12" thickTop="1" x14ac:dyDescent="0.25">
      <c r="A43" s="840" t="s">
        <v>153</v>
      </c>
      <c r="B43" s="841">
        <f t="shared" ref="B43:D43" si="26">SUM(B33+B38)</f>
        <v>436.13</v>
      </c>
      <c r="C43" s="842">
        <f t="shared" si="26"/>
        <v>70</v>
      </c>
      <c r="D43" s="832">
        <f t="shared" si="26"/>
        <v>506.13</v>
      </c>
      <c r="E43" s="843" t="s">
        <v>1118</v>
      </c>
      <c r="F43" s="844" t="s">
        <v>1119</v>
      </c>
      <c r="G43" s="845" t="s">
        <v>1120</v>
      </c>
      <c r="I43" s="846" t="s">
        <v>153</v>
      </c>
      <c r="J43" s="830">
        <f t="shared" ref="J43:L43" si="27">SUM(J33+J38)</f>
        <v>155.13</v>
      </c>
      <c r="K43" s="831">
        <f t="shared" si="27"/>
        <v>0</v>
      </c>
      <c r="L43" s="832">
        <f t="shared" si="27"/>
        <v>155.13</v>
      </c>
      <c r="M43" s="847" t="s">
        <v>1115</v>
      </c>
      <c r="N43" s="609" t="s">
        <v>1116</v>
      </c>
      <c r="O43" s="848" t="s">
        <v>1117</v>
      </c>
      <c r="Q43" s="846" t="s">
        <v>153</v>
      </c>
      <c r="R43" s="830">
        <f t="shared" ref="R43:T43" si="28">SUM(R33+R38)</f>
        <v>281</v>
      </c>
      <c r="S43" s="831">
        <f t="shared" si="28"/>
        <v>0</v>
      </c>
      <c r="T43" s="832">
        <f t="shared" si="28"/>
        <v>281</v>
      </c>
      <c r="U43" s="849">
        <f>SUM(U33+U38)</f>
        <v>0</v>
      </c>
      <c r="V43" s="850">
        <f>SUM(V33+V38)</f>
        <v>0</v>
      </c>
      <c r="W43" s="851">
        <f>SUM(W33+W38)</f>
        <v>0</v>
      </c>
      <c r="Y43" s="852" t="s">
        <v>153</v>
      </c>
      <c r="Z43" s="830">
        <f t="shared" ref="Z43:AB43" si="29">SUM(Z33+Z38)</f>
        <v>0</v>
      </c>
      <c r="AA43" s="831">
        <f t="shared" si="29"/>
        <v>70</v>
      </c>
      <c r="AB43" s="832">
        <f t="shared" si="29"/>
        <v>70</v>
      </c>
      <c r="AC43" s="830">
        <f>SUM(AC33+AC38)</f>
        <v>0</v>
      </c>
      <c r="AD43" s="831">
        <f>SUM(AD33+AD38)</f>
        <v>0</v>
      </c>
      <c r="AE43" s="832">
        <f>SUM(AE33+AE38)</f>
        <v>0</v>
      </c>
    </row>
    <row r="44" spans="1:31" s="134" customFormat="1" ht="13" x14ac:dyDescent="0.25">
      <c r="A44" s="135"/>
      <c r="B44" s="136"/>
      <c r="C44" s="136"/>
      <c r="D44" s="136"/>
      <c r="E44" s="136"/>
      <c r="F44" s="136"/>
      <c r="G44" s="136"/>
      <c r="I44" s="137"/>
      <c r="J44" s="138"/>
      <c r="K44" s="138"/>
      <c r="L44" s="138"/>
      <c r="M44" s="138"/>
      <c r="N44" s="138"/>
      <c r="O44" s="138"/>
      <c r="Q44" s="137"/>
      <c r="R44" s="138"/>
      <c r="S44" s="138"/>
      <c r="T44" s="138"/>
      <c r="U44" s="138"/>
      <c r="V44" s="138"/>
      <c r="W44" s="138"/>
      <c r="Y44" s="138"/>
      <c r="Z44" s="138"/>
      <c r="AA44" s="138"/>
    </row>
    <row r="45" spans="1:31" ht="20.149999999999999" customHeight="1" thickBot="1" x14ac:dyDescent="0.4">
      <c r="A45" s="935" t="s">
        <v>978</v>
      </c>
      <c r="B45" s="935"/>
      <c r="C45" s="935"/>
      <c r="D45" s="935"/>
      <c r="E45" s="935"/>
      <c r="F45" s="935"/>
      <c r="G45" s="935"/>
      <c r="H45" s="935"/>
      <c r="I45" s="935"/>
      <c r="J45" s="935"/>
      <c r="K45" s="935"/>
      <c r="L45" s="935"/>
    </row>
    <row r="46" spans="1:31" x14ac:dyDescent="0.3">
      <c r="A46" s="126" t="s">
        <v>332</v>
      </c>
    </row>
    <row r="47" spans="1:31" x14ac:dyDescent="0.3">
      <c r="A47" s="139"/>
    </row>
    <row r="48" spans="1:31" s="60" customFormat="1" ht="11.5" x14ac:dyDescent="0.25">
      <c r="A48" s="201" t="s">
        <v>1168</v>
      </c>
      <c r="B48" s="202" t="s">
        <v>1167</v>
      </c>
      <c r="C48" s="164"/>
      <c r="D48" s="203"/>
      <c r="E48" s="164" t="s">
        <v>333</v>
      </c>
      <c r="F48" s="164"/>
      <c r="G48" s="203"/>
      <c r="H48" s="202" t="s">
        <v>752</v>
      </c>
      <c r="I48" s="164"/>
      <c r="J48" s="203"/>
      <c r="K48" s="202" t="s">
        <v>753</v>
      </c>
      <c r="L48" s="164"/>
      <c r="M48" s="165"/>
      <c r="Q48" s="65"/>
      <c r="R48" s="65"/>
      <c r="S48" s="65"/>
      <c r="T48" s="65"/>
      <c r="U48" s="65"/>
    </row>
    <row r="49" spans="1:21" s="60" customFormat="1" ht="11.5" x14ac:dyDescent="0.25">
      <c r="A49" s="204">
        <v>2022</v>
      </c>
      <c r="B49" s="211" t="s">
        <v>471</v>
      </c>
      <c r="C49" s="209" t="s">
        <v>545</v>
      </c>
      <c r="D49" s="210" t="s">
        <v>546</v>
      </c>
      <c r="E49" s="211" t="s">
        <v>471</v>
      </c>
      <c r="F49" s="209" t="s">
        <v>545</v>
      </c>
      <c r="G49" s="210" t="s">
        <v>546</v>
      </c>
      <c r="H49" s="211" t="s">
        <v>471</v>
      </c>
      <c r="I49" s="209" t="s">
        <v>545</v>
      </c>
      <c r="J49" s="210" t="s">
        <v>546</v>
      </c>
      <c r="K49" s="211" t="s">
        <v>471</v>
      </c>
      <c r="L49" s="209" t="s">
        <v>545</v>
      </c>
      <c r="M49" s="212" t="s">
        <v>546</v>
      </c>
      <c r="Q49" s="68"/>
      <c r="R49" s="68"/>
      <c r="S49" s="68"/>
      <c r="T49" s="68"/>
      <c r="U49" s="68"/>
    </row>
    <row r="50" spans="1:21" s="22" customFormat="1" ht="11.5" x14ac:dyDescent="0.25">
      <c r="A50" s="853" t="s">
        <v>334</v>
      </c>
      <c r="B50" s="854">
        <f>SUM(C50:D50)</f>
        <v>24110641.759999998</v>
      </c>
      <c r="C50" s="855">
        <f t="shared" ref="C50:D52" si="30">SUM(F50+L50+I50)</f>
        <v>12055219</v>
      </c>
      <c r="D50" s="856">
        <f t="shared" si="30"/>
        <v>12055422.76</v>
      </c>
      <c r="E50" s="857">
        <f>SUM(F50:G50)</f>
        <v>1615041</v>
      </c>
      <c r="F50" s="858">
        <v>1615041</v>
      </c>
      <c r="G50" s="859">
        <v>0</v>
      </c>
      <c r="H50" s="860">
        <f>SUM(I50:J50)</f>
        <v>0.76</v>
      </c>
      <c r="I50" s="858">
        <v>0</v>
      </c>
      <c r="J50" s="859">
        <v>0.76</v>
      </c>
      <c r="K50" s="860">
        <f>SUM(L50:M50)</f>
        <v>22495600</v>
      </c>
      <c r="L50" s="861">
        <v>10440178</v>
      </c>
      <c r="M50" s="862">
        <v>12055422</v>
      </c>
    </row>
    <row r="51" spans="1:21" s="22" customFormat="1" ht="11.5" x14ac:dyDescent="0.25">
      <c r="A51" s="853" t="s">
        <v>335</v>
      </c>
      <c r="B51" s="854">
        <f t="shared" ref="B51:B52" si="31">SUM(C51:D51)</f>
        <v>0</v>
      </c>
      <c r="C51" s="855">
        <f t="shared" si="30"/>
        <v>0</v>
      </c>
      <c r="D51" s="856">
        <f t="shared" si="30"/>
        <v>0</v>
      </c>
      <c r="E51" s="857">
        <f>SUM(F51:G51)</f>
        <v>0</v>
      </c>
      <c r="F51" s="861">
        <v>0</v>
      </c>
      <c r="G51" s="859">
        <v>0</v>
      </c>
      <c r="H51" s="860">
        <f t="shared" ref="H51:H60" si="32">SUM(I51:J51)</f>
        <v>0</v>
      </c>
      <c r="I51" s="858">
        <v>0</v>
      </c>
      <c r="J51" s="859">
        <v>0</v>
      </c>
      <c r="K51" s="860">
        <f>SUM(L51:M51)</f>
        <v>0</v>
      </c>
      <c r="L51" s="861">
        <v>0</v>
      </c>
      <c r="M51" s="862">
        <v>0</v>
      </c>
    </row>
    <row r="52" spans="1:21" s="22" customFormat="1" ht="11.5" x14ac:dyDescent="0.25">
      <c r="A52" s="853" t="s">
        <v>336</v>
      </c>
      <c r="B52" s="854">
        <f t="shared" si="31"/>
        <v>23590007</v>
      </c>
      <c r="C52" s="855">
        <f t="shared" si="30"/>
        <v>11534585</v>
      </c>
      <c r="D52" s="856">
        <f t="shared" si="30"/>
        <v>12055422</v>
      </c>
      <c r="E52" s="857">
        <f>SUM(F52:G52)</f>
        <v>1615041</v>
      </c>
      <c r="F52" s="861">
        <v>1615041</v>
      </c>
      <c r="G52" s="859">
        <v>0</v>
      </c>
      <c r="H52" s="860">
        <f t="shared" si="32"/>
        <v>0</v>
      </c>
      <c r="I52" s="858">
        <v>0</v>
      </c>
      <c r="J52" s="859">
        <v>0</v>
      </c>
      <c r="K52" s="860">
        <f>SUM(L52:M52)</f>
        <v>21974966</v>
      </c>
      <c r="L52" s="861">
        <v>9919544</v>
      </c>
      <c r="M52" s="862">
        <v>12055422</v>
      </c>
    </row>
    <row r="53" spans="1:21" s="60" customFormat="1" ht="11.5" x14ac:dyDescent="0.25">
      <c r="A53" s="204">
        <v>2021</v>
      </c>
      <c r="B53" s="205"/>
      <c r="C53" s="206"/>
      <c r="D53" s="207"/>
      <c r="E53" s="208"/>
      <c r="F53" s="209"/>
      <c r="G53" s="210"/>
      <c r="H53" s="205"/>
      <c r="I53" s="209"/>
      <c r="J53" s="210"/>
      <c r="K53" s="211"/>
      <c r="L53" s="209"/>
      <c r="M53" s="212"/>
      <c r="Q53" s="68"/>
      <c r="R53" s="68"/>
      <c r="S53" s="68"/>
      <c r="T53" s="68"/>
      <c r="U53" s="68"/>
    </row>
    <row r="54" spans="1:21" s="22" customFormat="1" ht="11.5" x14ac:dyDescent="0.25">
      <c r="A54" s="853" t="s">
        <v>334</v>
      </c>
      <c r="B54" s="854">
        <f>SUM(C54)</f>
        <v>13450108.029999999</v>
      </c>
      <c r="C54" s="855">
        <f>SUM(F54+I54+L54)</f>
        <v>13450108.029999999</v>
      </c>
      <c r="D54" s="863" t="s">
        <v>11</v>
      </c>
      <c r="E54" s="864">
        <v>1937071.03</v>
      </c>
      <c r="F54" s="861">
        <f>E54</f>
        <v>1937071.03</v>
      </c>
      <c r="G54" s="859" t="s">
        <v>11</v>
      </c>
      <c r="H54" s="860">
        <f t="shared" si="32"/>
        <v>0</v>
      </c>
      <c r="I54" s="858">
        <v>0</v>
      </c>
      <c r="J54" s="859" t="s">
        <v>11</v>
      </c>
      <c r="K54" s="860">
        <v>11513037</v>
      </c>
      <c r="L54" s="861">
        <f>K54</f>
        <v>11513037</v>
      </c>
      <c r="M54" s="862" t="s">
        <v>11</v>
      </c>
    </row>
    <row r="55" spans="1:21" s="22" customFormat="1" ht="11.5" x14ac:dyDescent="0.25">
      <c r="A55" s="853" t="s">
        <v>335</v>
      </c>
      <c r="B55" s="854">
        <f t="shared" ref="B55:B56" si="33">SUM(C55)</f>
        <v>0</v>
      </c>
      <c r="C55" s="855">
        <f>SUM(F55+I55+L55)</f>
        <v>0</v>
      </c>
      <c r="D55" s="863" t="s">
        <v>11</v>
      </c>
      <c r="E55" s="864">
        <v>0</v>
      </c>
      <c r="F55" s="861">
        <f t="shared" ref="F55:F56" si="34">E55</f>
        <v>0</v>
      </c>
      <c r="G55" s="863" t="s">
        <v>11</v>
      </c>
      <c r="H55" s="860">
        <f t="shared" si="32"/>
        <v>0</v>
      </c>
      <c r="I55" s="865">
        <v>0</v>
      </c>
      <c r="J55" s="863" t="s">
        <v>11</v>
      </c>
      <c r="K55" s="860">
        <v>0</v>
      </c>
      <c r="L55" s="861">
        <f t="shared" ref="L55:L56" si="35">K55</f>
        <v>0</v>
      </c>
      <c r="M55" s="866" t="s">
        <v>11</v>
      </c>
    </row>
    <row r="56" spans="1:21" s="22" customFormat="1" ht="11.5" x14ac:dyDescent="0.25">
      <c r="A56" s="853" t="s">
        <v>336</v>
      </c>
      <c r="B56" s="854">
        <f t="shared" si="33"/>
        <v>2911278.79</v>
      </c>
      <c r="C56" s="855">
        <f>SUM(F56+I56+L56)</f>
        <v>2911278.79</v>
      </c>
      <c r="D56" s="863" t="s">
        <v>11</v>
      </c>
      <c r="E56" s="860">
        <v>419279.44</v>
      </c>
      <c r="F56" s="861">
        <f t="shared" si="34"/>
        <v>419279.44</v>
      </c>
      <c r="G56" s="863" t="s">
        <v>11</v>
      </c>
      <c r="H56" s="860">
        <f t="shared" si="32"/>
        <v>0</v>
      </c>
      <c r="I56" s="865">
        <v>0</v>
      </c>
      <c r="J56" s="863" t="s">
        <v>11</v>
      </c>
      <c r="K56" s="860">
        <v>2491999.35</v>
      </c>
      <c r="L56" s="861">
        <f t="shared" si="35"/>
        <v>2491999.35</v>
      </c>
      <c r="M56" s="866" t="s">
        <v>11</v>
      </c>
    </row>
    <row r="57" spans="1:21" s="60" customFormat="1" ht="11.5" x14ac:dyDescent="0.25">
      <c r="A57" s="204">
        <v>2020</v>
      </c>
      <c r="B57" s="205"/>
      <c r="C57" s="206"/>
      <c r="D57" s="207"/>
      <c r="E57" s="208"/>
      <c r="F57" s="209"/>
      <c r="G57" s="210"/>
      <c r="H57" s="205"/>
      <c r="I57" s="209"/>
      <c r="J57" s="210"/>
      <c r="K57" s="211"/>
      <c r="L57" s="209"/>
      <c r="M57" s="212"/>
      <c r="Q57" s="68"/>
      <c r="R57" s="68"/>
      <c r="S57" s="68"/>
      <c r="T57" s="68"/>
      <c r="U57" s="68"/>
    </row>
    <row r="58" spans="1:21" s="22" customFormat="1" ht="11.5" x14ac:dyDescent="0.25">
      <c r="A58" s="853" t="s">
        <v>334</v>
      </c>
      <c r="B58" s="867">
        <f>C58</f>
        <v>14208660</v>
      </c>
      <c r="C58" s="855">
        <f>SUM(F58+L58)</f>
        <v>14208660</v>
      </c>
      <c r="D58" s="863" t="s">
        <v>11</v>
      </c>
      <c r="E58" s="868">
        <v>1709675</v>
      </c>
      <c r="F58" s="869">
        <f>E58</f>
        <v>1709675</v>
      </c>
      <c r="G58" s="863" t="s">
        <v>11</v>
      </c>
      <c r="H58" s="860">
        <f t="shared" si="32"/>
        <v>0</v>
      </c>
      <c r="I58" s="865">
        <v>0</v>
      </c>
      <c r="J58" s="863" t="s">
        <v>11</v>
      </c>
      <c r="K58" s="867">
        <v>12498985</v>
      </c>
      <c r="L58" s="869">
        <f>K58</f>
        <v>12498985</v>
      </c>
      <c r="M58" s="866" t="s">
        <v>11</v>
      </c>
    </row>
    <row r="59" spans="1:21" s="22" customFormat="1" ht="11.5" x14ac:dyDescent="0.25">
      <c r="A59" s="853" t="s">
        <v>335</v>
      </c>
      <c r="B59" s="867" t="s">
        <v>338</v>
      </c>
      <c r="C59" s="865" t="s">
        <v>274</v>
      </c>
      <c r="D59" s="863" t="s">
        <v>11</v>
      </c>
      <c r="E59" s="868" t="s">
        <v>338</v>
      </c>
      <c r="F59" s="865" t="s">
        <v>274</v>
      </c>
      <c r="G59" s="863" t="s">
        <v>11</v>
      </c>
      <c r="H59" s="860">
        <f t="shared" si="32"/>
        <v>0</v>
      </c>
      <c r="I59" s="865">
        <v>0</v>
      </c>
      <c r="J59" s="863" t="s">
        <v>11</v>
      </c>
      <c r="K59" s="867" t="s">
        <v>338</v>
      </c>
      <c r="L59" s="869" t="s">
        <v>274</v>
      </c>
      <c r="M59" s="866" t="s">
        <v>11</v>
      </c>
    </row>
    <row r="60" spans="1:21" s="22" customFormat="1" ht="11.5" x14ac:dyDescent="0.25">
      <c r="A60" s="853" t="s">
        <v>336</v>
      </c>
      <c r="B60" s="867" t="s">
        <v>338</v>
      </c>
      <c r="C60" s="865" t="s">
        <v>274</v>
      </c>
      <c r="D60" s="863" t="s">
        <v>11</v>
      </c>
      <c r="E60" s="868" t="s">
        <v>338</v>
      </c>
      <c r="F60" s="865" t="s">
        <v>274</v>
      </c>
      <c r="G60" s="863" t="s">
        <v>11</v>
      </c>
      <c r="H60" s="867">
        <f t="shared" si="32"/>
        <v>0</v>
      </c>
      <c r="I60" s="865">
        <v>0</v>
      </c>
      <c r="J60" s="863" t="s">
        <v>11</v>
      </c>
      <c r="K60" s="867" t="s">
        <v>338</v>
      </c>
      <c r="L60" s="869" t="s">
        <v>274</v>
      </c>
      <c r="M60" s="866" t="s">
        <v>11</v>
      </c>
    </row>
    <row r="61" spans="1:21" s="22" customFormat="1" ht="40.5" customHeight="1" x14ac:dyDescent="0.25">
      <c r="A61" s="936" t="s">
        <v>1318</v>
      </c>
      <c r="B61" s="936"/>
      <c r="C61" s="936"/>
      <c r="D61" s="936"/>
      <c r="E61" s="936"/>
      <c r="F61" s="936"/>
      <c r="G61" s="936"/>
      <c r="H61" s="936"/>
      <c r="I61" s="936"/>
      <c r="J61" s="936"/>
      <c r="K61" s="936"/>
      <c r="L61" s="936"/>
      <c r="M61" s="936"/>
    </row>
    <row r="63" spans="1:21" s="62" customFormat="1" ht="30" customHeight="1" thickBot="1" x14ac:dyDescent="0.4">
      <c r="A63" s="935" t="s">
        <v>998</v>
      </c>
      <c r="B63" s="935"/>
      <c r="C63" s="935"/>
      <c r="D63" s="935"/>
      <c r="E63" s="935"/>
      <c r="F63" s="935"/>
      <c r="G63" s="935"/>
      <c r="H63" s="935"/>
      <c r="I63" s="935"/>
      <c r="J63" s="935"/>
      <c r="K63" s="935"/>
      <c r="L63" s="935"/>
    </row>
    <row r="64" spans="1:21" s="46" customFormat="1" x14ac:dyDescent="0.3">
      <c r="A64" s="17" t="s">
        <v>997</v>
      </c>
    </row>
    <row r="65" spans="1:12" s="62" customFormat="1" ht="19" x14ac:dyDescent="0.4">
      <c r="A65" s="140"/>
      <c r="B65" s="98"/>
      <c r="C65" s="98"/>
      <c r="D65" s="98"/>
      <c r="E65" s="98"/>
      <c r="F65" s="98"/>
      <c r="G65" s="98"/>
      <c r="H65" s="98"/>
      <c r="I65" s="98"/>
      <c r="J65" s="98"/>
      <c r="K65" s="98"/>
      <c r="L65" s="98"/>
    </row>
    <row r="66" spans="1:12" s="128" customFormat="1" ht="23" x14ac:dyDescent="0.3">
      <c r="A66" s="200" t="s">
        <v>353</v>
      </c>
      <c r="B66" s="200" t="s">
        <v>354</v>
      </c>
      <c r="C66" s="200" t="s">
        <v>979</v>
      </c>
      <c r="D66" s="200" t="s">
        <v>355</v>
      </c>
      <c r="E66" s="200" t="s">
        <v>980</v>
      </c>
      <c r="F66" s="200" t="s">
        <v>981</v>
      </c>
      <c r="G66" s="200" t="s">
        <v>982</v>
      </c>
      <c r="H66" s="200" t="s">
        <v>983</v>
      </c>
      <c r="I66" s="200" t="s">
        <v>984</v>
      </c>
      <c r="J66" s="200" t="s">
        <v>985</v>
      </c>
      <c r="K66" s="200" t="s">
        <v>986</v>
      </c>
      <c r="L66" s="200" t="s">
        <v>356</v>
      </c>
    </row>
    <row r="67" spans="1:12" s="873" customFormat="1" x14ac:dyDescent="0.3">
      <c r="A67" s="870" t="s">
        <v>357</v>
      </c>
      <c r="B67" s="870" t="s">
        <v>358</v>
      </c>
      <c r="C67" s="870" t="s">
        <v>359</v>
      </c>
      <c r="D67" s="870" t="s">
        <v>360</v>
      </c>
      <c r="E67" s="870" t="s">
        <v>361</v>
      </c>
      <c r="F67" s="871">
        <v>3231000</v>
      </c>
      <c r="G67" s="871">
        <v>1288000</v>
      </c>
      <c r="H67" s="870" t="s">
        <v>362</v>
      </c>
      <c r="I67" s="872">
        <v>44866</v>
      </c>
      <c r="J67" s="870" t="s">
        <v>166</v>
      </c>
      <c r="K67" s="870" t="s">
        <v>166</v>
      </c>
      <c r="L67" s="870" t="s">
        <v>148</v>
      </c>
    </row>
    <row r="68" spans="1:12" s="873" customFormat="1" x14ac:dyDescent="0.3">
      <c r="A68" s="874" t="s">
        <v>363</v>
      </c>
      <c r="B68" s="874" t="s">
        <v>364</v>
      </c>
      <c r="C68" s="874" t="s">
        <v>359</v>
      </c>
      <c r="D68" s="874" t="s">
        <v>360</v>
      </c>
      <c r="E68" s="874" t="s">
        <v>361</v>
      </c>
      <c r="F68" s="875">
        <v>4500000</v>
      </c>
      <c r="G68" s="875">
        <v>3767000</v>
      </c>
      <c r="H68" s="874" t="s">
        <v>362</v>
      </c>
      <c r="I68" s="876">
        <v>44896</v>
      </c>
      <c r="J68" s="874" t="s">
        <v>166</v>
      </c>
      <c r="K68" s="874" t="s">
        <v>166</v>
      </c>
      <c r="L68" s="874" t="s">
        <v>148</v>
      </c>
    </row>
  </sheetData>
  <mergeCells count="32">
    <mergeCell ref="B16:D16"/>
    <mergeCell ref="E16:G16"/>
    <mergeCell ref="A1:D1"/>
    <mergeCell ref="E1:H1"/>
    <mergeCell ref="I1:L1"/>
    <mergeCell ref="A13:D13"/>
    <mergeCell ref="E13:H13"/>
    <mergeCell ref="I13:L13"/>
    <mergeCell ref="A28:D28"/>
    <mergeCell ref="E28:H28"/>
    <mergeCell ref="I28:L28"/>
    <mergeCell ref="E31:G31"/>
    <mergeCell ref="B31:D31"/>
    <mergeCell ref="A63:D63"/>
    <mergeCell ref="E63:H63"/>
    <mergeCell ref="I63:L63"/>
    <mergeCell ref="U31:W31"/>
    <mergeCell ref="R31:T31"/>
    <mergeCell ref="M31:O31"/>
    <mergeCell ref="A61:M61"/>
    <mergeCell ref="J31:L31"/>
    <mergeCell ref="A45:D45"/>
    <mergeCell ref="E45:H45"/>
    <mergeCell ref="I45:L45"/>
    <mergeCell ref="AC31:AE31"/>
    <mergeCell ref="Z31:AB31"/>
    <mergeCell ref="J16:L16"/>
    <mergeCell ref="R16:T16"/>
    <mergeCell ref="M16:O16"/>
    <mergeCell ref="U16:W16"/>
    <mergeCell ref="Z16:AB16"/>
    <mergeCell ref="AC16:AE16"/>
  </mergeCells>
  <phoneticPr fontId="8" type="noConversion"/>
  <pageMargins left="0.7" right="0.7" top="0.75" bottom="0.75" header="0.3" footer="0.3"/>
  <drawing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802F-62E5-4E6A-8F2E-537551FA01E5}">
  <dimension ref="A1:M81"/>
  <sheetViews>
    <sheetView showGridLines="0" zoomScale="90" zoomScaleNormal="90" workbookViewId="0">
      <selection activeCell="A74" sqref="A74:XFD81"/>
    </sheetView>
  </sheetViews>
  <sheetFormatPr defaultColWidth="11.453125" defaultRowHeight="14" x14ac:dyDescent="0.3"/>
  <cols>
    <col min="1" max="1" width="54.453125" style="52" customWidth="1"/>
    <col min="2" max="2" width="19.1796875" style="52" customWidth="1"/>
    <col min="3" max="3" width="27.7265625" style="52" customWidth="1"/>
    <col min="4" max="4" width="24" style="52" customWidth="1"/>
    <col min="5" max="5" width="11" style="52" customWidth="1"/>
    <col min="6" max="6" width="16.1796875" style="52" customWidth="1"/>
    <col min="7" max="7" width="15.81640625" style="52" customWidth="1"/>
    <col min="8" max="8" width="25.26953125" style="52" customWidth="1"/>
    <col min="9" max="9" width="22" style="52" customWidth="1"/>
    <col min="10" max="10" width="13" style="52" customWidth="1"/>
    <col min="11" max="11" width="25.26953125" style="52" customWidth="1"/>
    <col min="12" max="12" width="18.1796875" style="52" customWidth="1"/>
    <col min="13" max="16384" width="11.453125" style="52"/>
  </cols>
  <sheetData>
    <row r="1" spans="1:12" s="50" customFormat="1" ht="30" customHeight="1" thickBot="1" x14ac:dyDescent="0.4">
      <c r="A1" s="935" t="s">
        <v>987</v>
      </c>
      <c r="B1" s="935"/>
      <c r="C1" s="935"/>
      <c r="D1" s="935"/>
      <c r="E1" s="935"/>
      <c r="F1" s="935"/>
      <c r="G1" s="935"/>
      <c r="H1" s="935"/>
      <c r="I1" s="935"/>
      <c r="J1" s="935"/>
      <c r="K1" s="935"/>
      <c r="L1" s="935"/>
    </row>
    <row r="2" spans="1:12" s="38" customFormat="1" x14ac:dyDescent="0.3">
      <c r="A2" s="17" t="s">
        <v>577</v>
      </c>
    </row>
    <row r="4" spans="1:12" x14ac:dyDescent="0.3">
      <c r="A4" s="196" t="s">
        <v>146</v>
      </c>
      <c r="B4" s="197" t="s">
        <v>572</v>
      </c>
      <c r="C4" s="197" t="s">
        <v>365</v>
      </c>
      <c r="D4" s="197" t="s">
        <v>366</v>
      </c>
      <c r="E4" s="198" t="s">
        <v>367</v>
      </c>
      <c r="F4" s="198" t="s">
        <v>368</v>
      </c>
      <c r="G4" s="198" t="s">
        <v>369</v>
      </c>
      <c r="H4" s="199" t="s">
        <v>370</v>
      </c>
    </row>
    <row r="5" spans="1:12" s="18" customFormat="1" ht="38.25" customHeight="1" x14ac:dyDescent="0.3">
      <c r="A5" s="1005" t="s">
        <v>464</v>
      </c>
      <c r="B5" s="494" t="s">
        <v>371</v>
      </c>
      <c r="C5" s="497" t="s">
        <v>372</v>
      </c>
      <c r="D5" s="494" t="s">
        <v>373</v>
      </c>
      <c r="E5" s="494" t="s">
        <v>573</v>
      </c>
      <c r="F5" s="497" t="s">
        <v>374</v>
      </c>
      <c r="G5" s="494" t="s">
        <v>166</v>
      </c>
      <c r="H5" s="877" t="s">
        <v>374</v>
      </c>
    </row>
    <row r="6" spans="1:12" s="18" customFormat="1" ht="23" x14ac:dyDescent="0.3">
      <c r="A6" s="1005"/>
      <c r="B6" s="494" t="s">
        <v>271</v>
      </c>
      <c r="C6" s="497" t="s">
        <v>372</v>
      </c>
      <c r="D6" s="494" t="s">
        <v>373</v>
      </c>
      <c r="E6" s="494" t="s">
        <v>573</v>
      </c>
      <c r="F6" s="878" t="s">
        <v>166</v>
      </c>
      <c r="G6" s="494" t="s">
        <v>166</v>
      </c>
      <c r="H6" s="522" t="s">
        <v>166</v>
      </c>
    </row>
    <row r="7" spans="1:12" s="18" customFormat="1" ht="36" customHeight="1" x14ac:dyDescent="0.3">
      <c r="A7" s="879" t="s">
        <v>461</v>
      </c>
      <c r="B7" s="494" t="s">
        <v>375</v>
      </c>
      <c r="C7" s="494" t="s">
        <v>376</v>
      </c>
      <c r="D7" s="494" t="s">
        <v>373</v>
      </c>
      <c r="E7" s="494" t="s">
        <v>166</v>
      </c>
      <c r="F7" s="497" t="s">
        <v>374</v>
      </c>
      <c r="G7" s="494" t="s">
        <v>166</v>
      </c>
      <c r="H7" s="877" t="s">
        <v>374</v>
      </c>
    </row>
    <row r="8" spans="1:12" s="18" customFormat="1" x14ac:dyDescent="0.3">
      <c r="A8" s="786" t="s">
        <v>472</v>
      </c>
      <c r="B8" s="494" t="s">
        <v>472</v>
      </c>
      <c r="C8" s="494" t="s">
        <v>574</v>
      </c>
      <c r="D8" s="494" t="s">
        <v>575</v>
      </c>
      <c r="E8" s="494" t="s">
        <v>166</v>
      </c>
      <c r="F8" s="497" t="s">
        <v>576</v>
      </c>
      <c r="G8" s="494" t="s">
        <v>166</v>
      </c>
      <c r="H8" s="877" t="s">
        <v>166</v>
      </c>
    </row>
    <row r="9" spans="1:12" s="18" customFormat="1" ht="57.75" customHeight="1" x14ac:dyDescent="0.3">
      <c r="A9" s="951" t="s">
        <v>1319</v>
      </c>
      <c r="B9" s="1006"/>
      <c r="C9" s="1006"/>
      <c r="D9" s="1006"/>
      <c r="E9" s="1006"/>
      <c r="F9" s="1006"/>
      <c r="G9" s="1006"/>
      <c r="H9" s="1006"/>
    </row>
    <row r="11" spans="1:12" s="50" customFormat="1" ht="30" customHeight="1" thickBot="1" x14ac:dyDescent="0.4">
      <c r="A11" s="935" t="s">
        <v>1156</v>
      </c>
      <c r="B11" s="935"/>
      <c r="C11" s="935"/>
      <c r="D11" s="935"/>
      <c r="E11" s="935"/>
      <c r="F11" s="935"/>
      <c r="G11" s="935"/>
      <c r="H11" s="935"/>
      <c r="I11" s="935"/>
      <c r="J11" s="935"/>
      <c r="K11" s="935"/>
      <c r="L11" s="935"/>
    </row>
    <row r="12" spans="1:12" s="38" customFormat="1" x14ac:dyDescent="0.3">
      <c r="A12" s="17" t="s">
        <v>377</v>
      </c>
    </row>
    <row r="13" spans="1:12" s="60" customFormat="1" ht="11.5" x14ac:dyDescent="0.25"/>
    <row r="14" spans="1:12" s="120" customFormat="1" ht="11.5" x14ac:dyDescent="0.25">
      <c r="A14" s="119"/>
      <c r="B14" s="166">
        <v>2022</v>
      </c>
      <c r="C14" s="181"/>
      <c r="D14" s="181"/>
      <c r="E14" s="181"/>
      <c r="F14" s="182"/>
      <c r="G14" s="166">
        <v>2021</v>
      </c>
      <c r="H14" s="167"/>
      <c r="I14" s="168"/>
      <c r="J14" s="185">
        <v>2020</v>
      </c>
      <c r="K14" s="186"/>
      <c r="L14" s="187"/>
    </row>
    <row r="15" spans="1:12" s="60" customFormat="1" ht="23" x14ac:dyDescent="0.25">
      <c r="A15" s="176" t="s">
        <v>378</v>
      </c>
      <c r="B15" s="179" t="s">
        <v>471</v>
      </c>
      <c r="C15" s="172" t="s">
        <v>461</v>
      </c>
      <c r="D15" s="172" t="s">
        <v>464</v>
      </c>
      <c r="E15" s="172" t="s">
        <v>472</v>
      </c>
      <c r="F15" s="183" t="s">
        <v>988</v>
      </c>
      <c r="G15" s="179" t="s">
        <v>471</v>
      </c>
      <c r="H15" s="172" t="s">
        <v>461</v>
      </c>
      <c r="I15" s="173" t="s">
        <v>464</v>
      </c>
      <c r="J15" s="179" t="s">
        <v>471</v>
      </c>
      <c r="K15" s="172" t="s">
        <v>461</v>
      </c>
      <c r="L15" s="173" t="s">
        <v>464</v>
      </c>
    </row>
    <row r="16" spans="1:12" s="60" customFormat="1" ht="11.5" x14ac:dyDescent="0.25">
      <c r="A16" s="188" t="s">
        <v>379</v>
      </c>
      <c r="B16" s="189">
        <f t="shared" ref="B16:B27" si="0">SUM(C16:E16)</f>
        <v>2308</v>
      </c>
      <c r="C16" s="190">
        <f>SUM(C17:C18)</f>
        <v>1060</v>
      </c>
      <c r="D16" s="190">
        <f>SUM(D17:D18)</f>
        <v>1248</v>
      </c>
      <c r="E16" s="190">
        <f>SUM(E17:E18)</f>
        <v>0</v>
      </c>
      <c r="F16" s="191">
        <v>0</v>
      </c>
      <c r="G16" s="189">
        <f t="shared" ref="G16:G27" si="1">SUM(H16:I16)</f>
        <v>4045.6190000000006</v>
      </c>
      <c r="H16" s="190">
        <f>SUM(H17:H18)</f>
        <v>1717.7190000000001</v>
      </c>
      <c r="I16" s="191">
        <f>SUM(I17:I18)</f>
        <v>2327.9000000000005</v>
      </c>
      <c r="J16" s="192">
        <f>SUM(K16:L16)</f>
        <v>3201.9300000000003</v>
      </c>
      <c r="K16" s="193">
        <v>1309.67</v>
      </c>
      <c r="L16" s="194">
        <v>1892.26</v>
      </c>
    </row>
    <row r="17" spans="1:12" s="22" customFormat="1" ht="11.5" x14ac:dyDescent="0.25">
      <c r="A17" s="880" t="s">
        <v>380</v>
      </c>
      <c r="B17" s="881">
        <f t="shared" si="0"/>
        <v>2308</v>
      </c>
      <c r="C17" s="882">
        <v>1060</v>
      </c>
      <c r="D17" s="882">
        <v>1248</v>
      </c>
      <c r="E17" s="882">
        <v>0</v>
      </c>
      <c r="F17" s="883">
        <v>0</v>
      </c>
      <c r="G17" s="881">
        <f t="shared" si="1"/>
        <v>4045.6190000000006</v>
      </c>
      <c r="H17" s="882">
        <v>1717.7190000000001</v>
      </c>
      <c r="I17" s="883">
        <f>2314.88+5.01+8.01</f>
        <v>2327.9000000000005</v>
      </c>
      <c r="J17" s="884">
        <f>SUM(K17:L17)</f>
        <v>3201.9300000000003</v>
      </c>
      <c r="K17" s="885">
        <v>1309.67</v>
      </c>
      <c r="L17" s="886">
        <v>1892.26</v>
      </c>
    </row>
    <row r="18" spans="1:12" s="22" customFormat="1" ht="11.5" x14ac:dyDescent="0.25">
      <c r="A18" s="880" t="s">
        <v>381</v>
      </c>
      <c r="B18" s="881">
        <f t="shared" si="0"/>
        <v>0</v>
      </c>
      <c r="C18" s="885">
        <v>0</v>
      </c>
      <c r="D18" s="885">
        <v>0</v>
      </c>
      <c r="E18" s="885">
        <v>0</v>
      </c>
      <c r="F18" s="883">
        <v>0</v>
      </c>
      <c r="G18" s="881">
        <f t="shared" si="1"/>
        <v>0</v>
      </c>
      <c r="H18" s="885">
        <v>0</v>
      </c>
      <c r="I18" s="886">
        <v>0</v>
      </c>
      <c r="J18" s="884">
        <v>0</v>
      </c>
      <c r="K18" s="885">
        <v>0</v>
      </c>
      <c r="L18" s="886">
        <v>0</v>
      </c>
    </row>
    <row r="19" spans="1:12" s="60" customFormat="1" ht="11.5" x14ac:dyDescent="0.25">
      <c r="A19" s="195" t="s">
        <v>382</v>
      </c>
      <c r="B19" s="189">
        <f t="shared" si="0"/>
        <v>785</v>
      </c>
      <c r="C19" s="190">
        <f>SUM(C20:C21)</f>
        <v>120</v>
      </c>
      <c r="D19" s="190">
        <f>SUM(D20:D21)</f>
        <v>97</v>
      </c>
      <c r="E19" s="190">
        <f>SUM(E20:E21)</f>
        <v>568</v>
      </c>
      <c r="F19" s="191">
        <v>0</v>
      </c>
      <c r="G19" s="189">
        <f t="shared" si="1"/>
        <v>389.16999999999996</v>
      </c>
      <c r="H19" s="190">
        <f>SUM(H20:H21)</f>
        <v>135.54</v>
      </c>
      <c r="I19" s="191">
        <f>SUM(I20:I21)</f>
        <v>253.63</v>
      </c>
      <c r="J19" s="192">
        <f>SUM(K19:L19)</f>
        <v>337.7</v>
      </c>
      <c r="K19" s="193">
        <v>110</v>
      </c>
      <c r="L19" s="194">
        <v>227.7</v>
      </c>
    </row>
    <row r="20" spans="1:12" s="22" customFormat="1" ht="11.5" x14ac:dyDescent="0.25">
      <c r="A20" s="880" t="s">
        <v>383</v>
      </c>
      <c r="B20" s="881">
        <f t="shared" si="0"/>
        <v>785</v>
      </c>
      <c r="C20" s="882">
        <v>120</v>
      </c>
      <c r="D20" s="882">
        <v>97</v>
      </c>
      <c r="E20" s="882">
        <v>568</v>
      </c>
      <c r="F20" s="883">
        <v>0</v>
      </c>
      <c r="G20" s="881">
        <f t="shared" si="1"/>
        <v>389.16999999999996</v>
      </c>
      <c r="H20" s="882">
        <v>135.54</v>
      </c>
      <c r="I20" s="883">
        <v>253.63</v>
      </c>
      <c r="J20" s="884">
        <f>SUM(K20:L20)</f>
        <v>337.7</v>
      </c>
      <c r="K20" s="885">
        <v>110</v>
      </c>
      <c r="L20" s="886">
        <v>227.7</v>
      </c>
    </row>
    <row r="21" spans="1:12" s="22" customFormat="1" ht="11.5" x14ac:dyDescent="0.25">
      <c r="A21" s="880" t="s">
        <v>381</v>
      </c>
      <c r="B21" s="881">
        <f t="shared" si="0"/>
        <v>0</v>
      </c>
      <c r="C21" s="885">
        <v>0</v>
      </c>
      <c r="D21" s="885">
        <v>0</v>
      </c>
      <c r="E21" s="885">
        <v>0</v>
      </c>
      <c r="F21" s="883">
        <v>0</v>
      </c>
      <c r="G21" s="881">
        <f t="shared" si="1"/>
        <v>0</v>
      </c>
      <c r="H21" s="885">
        <f>SUM(J21:J21)</f>
        <v>0</v>
      </c>
      <c r="I21" s="886">
        <f>SUM(H21:H21)</f>
        <v>0</v>
      </c>
      <c r="J21" s="884">
        <f t="shared" ref="J21:J27" si="2">SUM(L21:L21)</f>
        <v>0</v>
      </c>
      <c r="K21" s="885">
        <v>0</v>
      </c>
      <c r="L21" s="886">
        <v>0</v>
      </c>
    </row>
    <row r="22" spans="1:12" s="60" customFormat="1" ht="11.5" x14ac:dyDescent="0.25">
      <c r="A22" s="195" t="s">
        <v>384</v>
      </c>
      <c r="B22" s="189">
        <f t="shared" si="0"/>
        <v>0</v>
      </c>
      <c r="C22" s="190">
        <f>SUM(C23:C24)</f>
        <v>0</v>
      </c>
      <c r="D22" s="190">
        <f>SUM(D23:D24)</f>
        <v>0</v>
      </c>
      <c r="E22" s="190">
        <f>SUM(E23:E24)</f>
        <v>0</v>
      </c>
      <c r="F22" s="191">
        <f>SUM(I22:J22)</f>
        <v>0</v>
      </c>
      <c r="G22" s="189">
        <f t="shared" si="1"/>
        <v>0</v>
      </c>
      <c r="H22" s="190">
        <f>SUM(H23:H24)</f>
        <v>0</v>
      </c>
      <c r="I22" s="191">
        <f>SUM(I23:I24)</f>
        <v>0</v>
      </c>
      <c r="J22" s="192">
        <f t="shared" si="2"/>
        <v>0</v>
      </c>
      <c r="K22" s="193">
        <v>0</v>
      </c>
      <c r="L22" s="194">
        <v>0</v>
      </c>
    </row>
    <row r="23" spans="1:12" s="22" customFormat="1" ht="11.5" x14ac:dyDescent="0.25">
      <c r="A23" s="880" t="s">
        <v>383</v>
      </c>
      <c r="B23" s="881">
        <f t="shared" si="0"/>
        <v>0</v>
      </c>
      <c r="C23" s="882">
        <v>0</v>
      </c>
      <c r="D23" s="882">
        <v>0</v>
      </c>
      <c r="E23" s="882">
        <v>0</v>
      </c>
      <c r="F23" s="883">
        <v>0</v>
      </c>
      <c r="G23" s="881">
        <f t="shared" si="1"/>
        <v>0</v>
      </c>
      <c r="H23" s="882">
        <v>0</v>
      </c>
      <c r="I23" s="883">
        <v>0</v>
      </c>
      <c r="J23" s="884">
        <f t="shared" si="2"/>
        <v>0</v>
      </c>
      <c r="K23" s="885">
        <v>0</v>
      </c>
      <c r="L23" s="886">
        <v>0</v>
      </c>
    </row>
    <row r="24" spans="1:12" s="22" customFormat="1" ht="11.5" x14ac:dyDescent="0.25">
      <c r="A24" s="880" t="s">
        <v>381</v>
      </c>
      <c r="B24" s="881">
        <f t="shared" si="0"/>
        <v>0</v>
      </c>
      <c r="C24" s="882">
        <v>0</v>
      </c>
      <c r="D24" s="882">
        <v>0</v>
      </c>
      <c r="E24" s="882">
        <v>0</v>
      </c>
      <c r="F24" s="883">
        <v>0</v>
      </c>
      <c r="G24" s="881">
        <f t="shared" si="1"/>
        <v>0</v>
      </c>
      <c r="H24" s="882">
        <v>0</v>
      </c>
      <c r="I24" s="883">
        <v>0</v>
      </c>
      <c r="J24" s="884">
        <f t="shared" si="2"/>
        <v>0</v>
      </c>
      <c r="K24" s="885">
        <v>0</v>
      </c>
      <c r="L24" s="886">
        <v>0</v>
      </c>
    </row>
    <row r="25" spans="1:12" s="60" customFormat="1" ht="11.5" x14ac:dyDescent="0.25">
      <c r="A25" s="195" t="s">
        <v>385</v>
      </c>
      <c r="B25" s="189">
        <f t="shared" si="0"/>
        <v>0</v>
      </c>
      <c r="C25" s="190">
        <f>SUM(C26:C27)</f>
        <v>0</v>
      </c>
      <c r="D25" s="190">
        <f>SUM(D26:D27)</f>
        <v>0</v>
      </c>
      <c r="E25" s="190">
        <f>SUM(E26:E27)</f>
        <v>0</v>
      </c>
      <c r="F25" s="191">
        <f>SUM(I25:J25)</f>
        <v>0</v>
      </c>
      <c r="G25" s="189">
        <f t="shared" si="1"/>
        <v>0</v>
      </c>
      <c r="H25" s="190">
        <f>SUM(H26:H27)</f>
        <v>0</v>
      </c>
      <c r="I25" s="191">
        <f>SUM(I26:I27)</f>
        <v>0</v>
      </c>
      <c r="J25" s="192">
        <f t="shared" si="2"/>
        <v>0</v>
      </c>
      <c r="K25" s="193">
        <v>0</v>
      </c>
      <c r="L25" s="194">
        <v>0</v>
      </c>
    </row>
    <row r="26" spans="1:12" s="22" customFormat="1" ht="11.5" x14ac:dyDescent="0.25">
      <c r="A26" s="880" t="s">
        <v>383</v>
      </c>
      <c r="B26" s="881">
        <f t="shared" si="0"/>
        <v>0</v>
      </c>
      <c r="C26" s="882">
        <v>0</v>
      </c>
      <c r="D26" s="882">
        <v>0</v>
      </c>
      <c r="E26" s="882">
        <v>0</v>
      </c>
      <c r="F26" s="883">
        <v>0</v>
      </c>
      <c r="G26" s="881">
        <f t="shared" si="1"/>
        <v>0</v>
      </c>
      <c r="H26" s="882">
        <v>0</v>
      </c>
      <c r="I26" s="883">
        <v>0</v>
      </c>
      <c r="J26" s="884">
        <f t="shared" si="2"/>
        <v>0</v>
      </c>
      <c r="K26" s="885">
        <v>0</v>
      </c>
      <c r="L26" s="886">
        <v>0</v>
      </c>
    </row>
    <row r="27" spans="1:12" s="22" customFormat="1" ht="11.5" x14ac:dyDescent="0.25">
      <c r="A27" s="880" t="s">
        <v>381</v>
      </c>
      <c r="B27" s="881">
        <f t="shared" si="0"/>
        <v>0</v>
      </c>
      <c r="C27" s="882">
        <v>0</v>
      </c>
      <c r="D27" s="882">
        <v>0</v>
      </c>
      <c r="E27" s="882">
        <v>0</v>
      </c>
      <c r="F27" s="883">
        <v>0</v>
      </c>
      <c r="G27" s="881">
        <f t="shared" si="1"/>
        <v>0</v>
      </c>
      <c r="H27" s="882">
        <v>0</v>
      </c>
      <c r="I27" s="883">
        <v>0</v>
      </c>
      <c r="J27" s="884">
        <f t="shared" si="2"/>
        <v>0</v>
      </c>
      <c r="K27" s="885">
        <v>0</v>
      </c>
      <c r="L27" s="886">
        <v>0</v>
      </c>
    </row>
    <row r="28" spans="1:12" s="58" customFormat="1" ht="11.5" x14ac:dyDescent="0.25">
      <c r="A28" s="177" t="s">
        <v>386</v>
      </c>
      <c r="B28" s="184">
        <f>SUM(B29:B32)</f>
        <v>14</v>
      </c>
      <c r="C28" s="121">
        <f t="shared" ref="C28:F28" si="3">SUM(C29:C32)</f>
        <v>8</v>
      </c>
      <c r="D28" s="121">
        <f t="shared" si="3"/>
        <v>6</v>
      </c>
      <c r="E28" s="121">
        <f t="shared" si="3"/>
        <v>0</v>
      </c>
      <c r="F28" s="178">
        <f t="shared" si="3"/>
        <v>0</v>
      </c>
      <c r="G28" s="184">
        <f>SUM(G29:G32)</f>
        <v>23.14</v>
      </c>
      <c r="H28" s="121">
        <f t="shared" ref="H28:L28" si="4">SUM(H29:H32)</f>
        <v>18.559999999999999</v>
      </c>
      <c r="I28" s="178">
        <f t="shared" si="4"/>
        <v>4.58</v>
      </c>
      <c r="J28" s="184">
        <f>SUM(J29:J32)</f>
        <v>25.080000000000002</v>
      </c>
      <c r="K28" s="121">
        <f t="shared" si="4"/>
        <v>20.87</v>
      </c>
      <c r="L28" s="178">
        <f t="shared" si="4"/>
        <v>4.21</v>
      </c>
    </row>
    <row r="29" spans="1:12" s="22" customFormat="1" ht="11.5" x14ac:dyDescent="0.25">
      <c r="A29" s="880" t="s">
        <v>387</v>
      </c>
      <c r="B29" s="881">
        <f>SUM(C29:E29)</f>
        <v>14</v>
      </c>
      <c r="C29" s="882">
        <v>8</v>
      </c>
      <c r="D29" s="882">
        <v>6</v>
      </c>
      <c r="E29" s="882">
        <v>0</v>
      </c>
      <c r="F29" s="883">
        <v>0</v>
      </c>
      <c r="G29" s="881">
        <f>SUM(H29:I29)</f>
        <v>23.14</v>
      </c>
      <c r="H29" s="882">
        <v>18.559999999999999</v>
      </c>
      <c r="I29" s="883">
        <f>3.5+1.08</f>
        <v>4.58</v>
      </c>
      <c r="J29" s="884">
        <f>SUM(K29:L29)</f>
        <v>25.080000000000002</v>
      </c>
      <c r="K29" s="885">
        <v>20.87</v>
      </c>
      <c r="L29" s="886">
        <v>4.21</v>
      </c>
    </row>
    <row r="30" spans="1:12" s="22" customFormat="1" ht="11.5" x14ac:dyDescent="0.25">
      <c r="A30" s="880" t="s">
        <v>388</v>
      </c>
      <c r="B30" s="881">
        <v>0</v>
      </c>
      <c r="C30" s="882">
        <v>0</v>
      </c>
      <c r="D30" s="882">
        <v>0</v>
      </c>
      <c r="E30" s="882">
        <v>0</v>
      </c>
      <c r="F30" s="883">
        <v>0</v>
      </c>
      <c r="G30" s="881">
        <v>0</v>
      </c>
      <c r="H30" s="882">
        <v>0</v>
      </c>
      <c r="I30" s="883">
        <v>0</v>
      </c>
      <c r="J30" s="884">
        <v>0</v>
      </c>
      <c r="K30" s="885">
        <v>0</v>
      </c>
      <c r="L30" s="886">
        <v>0</v>
      </c>
    </row>
    <row r="31" spans="1:12" s="22" customFormat="1" ht="11.5" x14ac:dyDescent="0.25">
      <c r="A31" s="880" t="s">
        <v>389</v>
      </c>
      <c r="B31" s="881">
        <v>0</v>
      </c>
      <c r="C31" s="882">
        <v>0</v>
      </c>
      <c r="D31" s="882">
        <v>0</v>
      </c>
      <c r="E31" s="882">
        <v>0</v>
      </c>
      <c r="F31" s="883">
        <v>0</v>
      </c>
      <c r="G31" s="881">
        <v>0</v>
      </c>
      <c r="H31" s="882">
        <v>0</v>
      </c>
      <c r="I31" s="883">
        <v>0</v>
      </c>
      <c r="J31" s="884">
        <v>0</v>
      </c>
      <c r="K31" s="885">
        <v>0</v>
      </c>
      <c r="L31" s="886">
        <v>0</v>
      </c>
    </row>
    <row r="32" spans="1:12" s="22" customFormat="1" ht="11.5" x14ac:dyDescent="0.25">
      <c r="A32" s="880" t="s">
        <v>390</v>
      </c>
      <c r="B32" s="881">
        <f>SUM(C32:E32)</f>
        <v>0</v>
      </c>
      <c r="C32" s="882">
        <v>0</v>
      </c>
      <c r="D32" s="882">
        <v>0</v>
      </c>
      <c r="E32" s="882">
        <v>0</v>
      </c>
      <c r="F32" s="883">
        <v>0</v>
      </c>
      <c r="G32" s="881">
        <f>SUM(H32:I32)</f>
        <v>0</v>
      </c>
      <c r="H32" s="882">
        <v>0</v>
      </c>
      <c r="I32" s="883">
        <v>0</v>
      </c>
      <c r="J32" s="884">
        <v>0</v>
      </c>
      <c r="K32" s="885">
        <v>0</v>
      </c>
      <c r="L32" s="886">
        <v>0</v>
      </c>
    </row>
    <row r="33" spans="1:13" s="58" customFormat="1" ht="11.5" x14ac:dyDescent="0.25">
      <c r="A33" s="177" t="s">
        <v>391</v>
      </c>
      <c r="B33" s="184"/>
      <c r="C33" s="121"/>
      <c r="D33" s="121"/>
      <c r="E33" s="121"/>
      <c r="F33" s="178"/>
      <c r="G33" s="184"/>
      <c r="H33" s="121"/>
      <c r="I33" s="178"/>
      <c r="J33" s="184"/>
      <c r="K33" s="121"/>
      <c r="L33" s="178"/>
    </row>
    <row r="34" spans="1:13" s="22" customFormat="1" ht="23" x14ac:dyDescent="0.25">
      <c r="A34" s="887" t="s">
        <v>392</v>
      </c>
      <c r="B34" s="888">
        <f>SUM(B16+B19+B22+B25+B29+B30+B31+B32)</f>
        <v>3107</v>
      </c>
      <c r="C34" s="889">
        <f t="shared" ref="C34:E34" si="5">SUM(C16+C19+C22+C25+C29+C30+C31+C32)</f>
        <v>1188</v>
      </c>
      <c r="D34" s="889">
        <f t="shared" si="5"/>
        <v>1351</v>
      </c>
      <c r="E34" s="889">
        <f t="shared" si="5"/>
        <v>568</v>
      </c>
      <c r="F34" s="890">
        <f>SUM(F16+F19+F22+F25+F29+F30+F31+F32)</f>
        <v>0</v>
      </c>
      <c r="G34" s="888">
        <f>SUM(G16+G19+G22+G25+G29+G30+G31+G32)</f>
        <v>4457.929000000001</v>
      </c>
      <c r="H34" s="889">
        <f>SUM(H16+H19+H22+H25+H29+H30+H31+H32)</f>
        <v>1871.819</v>
      </c>
      <c r="I34" s="890">
        <f>SUM(I16+I19+I22+I25+I29+I30+I31+I32)</f>
        <v>2586.1100000000006</v>
      </c>
      <c r="J34" s="888">
        <f>SUM(J16+J19+J22+J25+J29+J30+J31+J32)</f>
        <v>3564.71</v>
      </c>
      <c r="K34" s="889">
        <f>SUM(K16+K19+K22+K25+K28)</f>
        <v>1440.54</v>
      </c>
      <c r="L34" s="890">
        <f>SUM(L16+L19+L22+L25+L29+L30+L31+L32)</f>
        <v>2124.17</v>
      </c>
    </row>
    <row r="35" spans="1:13" s="22" customFormat="1" ht="127.5" customHeight="1" x14ac:dyDescent="0.25">
      <c r="A35" s="951" t="s">
        <v>1320</v>
      </c>
      <c r="B35" s="1006"/>
      <c r="C35" s="1006"/>
      <c r="D35" s="1006"/>
      <c r="E35" s="1006"/>
      <c r="F35" s="1006"/>
      <c r="G35" s="1006"/>
      <c r="H35" s="1006"/>
      <c r="I35" s="1006"/>
      <c r="J35" s="1006"/>
      <c r="K35" s="1006"/>
      <c r="L35" s="1006"/>
      <c r="M35" s="1006"/>
    </row>
    <row r="37" spans="1:13" s="50" customFormat="1" ht="30" customHeight="1" thickBot="1" x14ac:dyDescent="0.4">
      <c r="A37" s="935" t="s">
        <v>1157</v>
      </c>
      <c r="B37" s="935"/>
      <c r="C37" s="935"/>
      <c r="D37" s="935"/>
      <c r="E37" s="935"/>
      <c r="F37" s="935"/>
      <c r="G37" s="935"/>
      <c r="H37" s="935"/>
      <c r="I37" s="935"/>
      <c r="J37" s="935"/>
      <c r="K37" s="935"/>
      <c r="L37" s="935"/>
    </row>
    <row r="38" spans="1:13" s="38" customFormat="1" x14ac:dyDescent="0.3">
      <c r="A38" s="17" t="s">
        <v>393</v>
      </c>
    </row>
    <row r="40" spans="1:13" s="477" customFormat="1" ht="11.5" x14ac:dyDescent="0.35">
      <c r="A40" s="621"/>
      <c r="B40" s="902">
        <v>2022</v>
      </c>
      <c r="C40" s="903"/>
      <c r="D40" s="903"/>
      <c r="E40" s="904"/>
      <c r="F40" s="902">
        <v>2021</v>
      </c>
      <c r="G40" s="903"/>
      <c r="H40" s="904"/>
      <c r="I40" s="687">
        <v>2020</v>
      </c>
      <c r="J40" s="688"/>
      <c r="K40" s="689"/>
    </row>
    <row r="41" spans="1:13" s="60" customFormat="1" ht="23" x14ac:dyDescent="0.25">
      <c r="A41" s="171" t="s">
        <v>394</v>
      </c>
      <c r="B41" s="179" t="s">
        <v>471</v>
      </c>
      <c r="C41" s="172" t="s">
        <v>461</v>
      </c>
      <c r="D41" s="172" t="s">
        <v>464</v>
      </c>
      <c r="E41" s="173" t="s">
        <v>472</v>
      </c>
      <c r="F41" s="179" t="s">
        <v>471</v>
      </c>
      <c r="G41" s="172" t="s">
        <v>461</v>
      </c>
      <c r="H41" s="173" t="s">
        <v>464</v>
      </c>
      <c r="I41" s="179" t="s">
        <v>471</v>
      </c>
      <c r="J41" s="172" t="s">
        <v>461</v>
      </c>
      <c r="K41" s="173" t="s">
        <v>464</v>
      </c>
    </row>
    <row r="42" spans="1:13" s="22" customFormat="1" ht="11.5" x14ac:dyDescent="0.25">
      <c r="A42" s="880" t="s">
        <v>395</v>
      </c>
      <c r="B42" s="891">
        <f>SUM(C42:E42)</f>
        <v>3526.21</v>
      </c>
      <c r="C42" s="892">
        <v>479.51</v>
      </c>
      <c r="D42" s="892">
        <v>3046.7</v>
      </c>
      <c r="E42" s="893">
        <v>0</v>
      </c>
      <c r="F42" s="891">
        <f>SUM(G42:H42)</f>
        <v>2092.7799999999997</v>
      </c>
      <c r="G42" s="892">
        <v>688.04</v>
      </c>
      <c r="H42" s="894">
        <f>1395.64+9.1</f>
        <v>1404.74</v>
      </c>
      <c r="I42" s="891">
        <f t="shared" ref="I42:I47" si="6">SUM(J42:K42)</f>
        <v>997.16800000000012</v>
      </c>
      <c r="J42" s="895">
        <v>264.07</v>
      </c>
      <c r="K42" s="893">
        <f>733098*0.001</f>
        <v>733.09800000000007</v>
      </c>
    </row>
    <row r="43" spans="1:13" s="22" customFormat="1" ht="11.5" x14ac:dyDescent="0.25">
      <c r="A43" s="880" t="s">
        <v>396</v>
      </c>
      <c r="B43" s="891">
        <f>SUM(C43:E43)</f>
        <v>0</v>
      </c>
      <c r="C43" s="892">
        <v>0</v>
      </c>
      <c r="D43" s="892">
        <v>0</v>
      </c>
      <c r="E43" s="893">
        <v>0</v>
      </c>
      <c r="F43" s="891">
        <f>SUM(G43:H43)</f>
        <v>0</v>
      </c>
      <c r="G43" s="892">
        <v>0</v>
      </c>
      <c r="H43" s="894">
        <v>0</v>
      </c>
      <c r="I43" s="891">
        <f t="shared" si="6"/>
        <v>0</v>
      </c>
      <c r="J43" s="895">
        <v>0</v>
      </c>
      <c r="K43" s="896">
        <v>0</v>
      </c>
    </row>
    <row r="44" spans="1:13" s="22" customFormat="1" ht="11.5" x14ac:dyDescent="0.25">
      <c r="A44" s="880" t="s">
        <v>397</v>
      </c>
      <c r="B44" s="891">
        <f>SUM(C44:E44)</f>
        <v>0</v>
      </c>
      <c r="C44" s="892">
        <v>0</v>
      </c>
      <c r="D44" s="892">
        <v>0</v>
      </c>
      <c r="E44" s="893">
        <v>0</v>
      </c>
      <c r="F44" s="891">
        <f>SUM(G44:H44)</f>
        <v>0</v>
      </c>
      <c r="G44" s="892">
        <v>0</v>
      </c>
      <c r="H44" s="894">
        <v>0</v>
      </c>
      <c r="I44" s="891">
        <f t="shared" si="6"/>
        <v>0</v>
      </c>
      <c r="J44" s="895">
        <v>0</v>
      </c>
      <c r="K44" s="896">
        <v>0</v>
      </c>
    </row>
    <row r="45" spans="1:13" s="22" customFormat="1" ht="11.5" x14ac:dyDescent="0.25">
      <c r="A45" s="880" t="s">
        <v>398</v>
      </c>
      <c r="B45" s="891">
        <f>SUM(C45:E45)</f>
        <v>0</v>
      </c>
      <c r="C45" s="892">
        <v>0</v>
      </c>
      <c r="D45" s="892">
        <v>0</v>
      </c>
      <c r="E45" s="893">
        <v>0</v>
      </c>
      <c r="F45" s="891">
        <f>SUM(G45:H45)</f>
        <v>0</v>
      </c>
      <c r="G45" s="892">
        <v>0</v>
      </c>
      <c r="H45" s="894">
        <v>0</v>
      </c>
      <c r="I45" s="891">
        <f t="shared" si="6"/>
        <v>0</v>
      </c>
      <c r="J45" s="895">
        <v>0</v>
      </c>
      <c r="K45" s="896">
        <v>0</v>
      </c>
    </row>
    <row r="46" spans="1:13" s="22" customFormat="1" ht="11.5" x14ac:dyDescent="0.25">
      <c r="A46" s="897" t="s">
        <v>399</v>
      </c>
      <c r="B46" s="891">
        <f>SUM(C46:E46)</f>
        <v>0</v>
      </c>
      <c r="C46" s="892">
        <v>0</v>
      </c>
      <c r="D46" s="892">
        <v>0</v>
      </c>
      <c r="E46" s="893">
        <v>0</v>
      </c>
      <c r="F46" s="891">
        <f>SUM(G46:H46)</f>
        <v>0</v>
      </c>
      <c r="G46" s="892">
        <v>0</v>
      </c>
      <c r="H46" s="894">
        <v>0</v>
      </c>
      <c r="I46" s="891">
        <f t="shared" si="6"/>
        <v>0</v>
      </c>
      <c r="J46" s="895">
        <v>0</v>
      </c>
      <c r="K46" s="896">
        <v>0</v>
      </c>
    </row>
    <row r="47" spans="1:13" s="32" customFormat="1" ht="23" x14ac:dyDescent="0.25">
      <c r="A47" s="898" t="s">
        <v>578</v>
      </c>
      <c r="B47" s="899">
        <f>SUM(B42:B45)</f>
        <v>3526.21</v>
      </c>
      <c r="C47" s="900">
        <f t="shared" ref="C47:E47" si="7">SUM(C42:C45)</f>
        <v>479.51</v>
      </c>
      <c r="D47" s="900">
        <f t="shared" si="7"/>
        <v>3046.7</v>
      </c>
      <c r="E47" s="901">
        <f t="shared" si="7"/>
        <v>0</v>
      </c>
      <c r="F47" s="899">
        <f>SUM(F42:F45)</f>
        <v>2092.7799999999997</v>
      </c>
      <c r="G47" s="900">
        <f>SUM(G42:G45)</f>
        <v>688.04</v>
      </c>
      <c r="H47" s="901">
        <f>SUM(H42:H45)</f>
        <v>1404.74</v>
      </c>
      <c r="I47" s="899">
        <f t="shared" si="6"/>
        <v>997.16800000000012</v>
      </c>
      <c r="J47" s="900">
        <f>SUM(J42:J45)</f>
        <v>264.07</v>
      </c>
      <c r="K47" s="901">
        <f>SUM(K42:K45)</f>
        <v>733.09800000000007</v>
      </c>
    </row>
    <row r="48" spans="1:13" s="60" customFormat="1" ht="11.5" x14ac:dyDescent="0.25">
      <c r="A48" s="174" t="s">
        <v>400</v>
      </c>
      <c r="B48" s="180"/>
      <c r="C48" s="122"/>
      <c r="D48" s="122"/>
      <c r="E48" s="175"/>
      <c r="F48" s="180"/>
      <c r="G48" s="122"/>
      <c r="H48" s="175"/>
      <c r="I48" s="180"/>
      <c r="J48" s="122"/>
      <c r="K48" s="175"/>
    </row>
    <row r="49" spans="1:12" s="22" customFormat="1" ht="11.5" x14ac:dyDescent="0.25">
      <c r="A49" s="880" t="s">
        <v>383</v>
      </c>
      <c r="B49" s="891">
        <f>SUM(C49:E49)</f>
        <v>0</v>
      </c>
      <c r="C49" s="905">
        <v>0</v>
      </c>
      <c r="D49" s="905">
        <v>0</v>
      </c>
      <c r="E49" s="906">
        <v>0</v>
      </c>
      <c r="F49" s="891">
        <f>SUM(G49:H49)</f>
        <v>0</v>
      </c>
      <c r="G49" s="905">
        <v>0</v>
      </c>
      <c r="H49" s="906">
        <v>0</v>
      </c>
      <c r="I49" s="891">
        <f>SUM(J49:K49)</f>
        <v>0</v>
      </c>
      <c r="J49" s="895">
        <v>0</v>
      </c>
      <c r="K49" s="896">
        <v>0</v>
      </c>
    </row>
    <row r="50" spans="1:12" s="22" customFormat="1" ht="11.5" x14ac:dyDescent="0.25">
      <c r="A50" s="880" t="s">
        <v>381</v>
      </c>
      <c r="B50" s="891">
        <f>SUM(C50:E50)</f>
        <v>3526.7</v>
      </c>
      <c r="C50" s="905">
        <v>480</v>
      </c>
      <c r="D50" s="905">
        <f>D42</f>
        <v>3046.7</v>
      </c>
      <c r="E50" s="906">
        <v>0</v>
      </c>
      <c r="F50" s="891">
        <f>SUM(G50:H50)</f>
        <v>2092.7799999999997</v>
      </c>
      <c r="G50" s="905">
        <v>688.04</v>
      </c>
      <c r="H50" s="907">
        <f>H42</f>
        <v>1404.74</v>
      </c>
      <c r="I50" s="891">
        <f>SUM(J50:K50)</f>
        <v>997.16800000000012</v>
      </c>
      <c r="J50" s="895">
        <f>264070*0.001</f>
        <v>264.07</v>
      </c>
      <c r="K50" s="896">
        <f>K42</f>
        <v>733.09800000000007</v>
      </c>
    </row>
    <row r="51" spans="1:12" s="60" customFormat="1" ht="11.5" x14ac:dyDescent="0.25">
      <c r="A51" s="174" t="s">
        <v>401</v>
      </c>
      <c r="B51" s="180"/>
      <c r="C51" s="122"/>
      <c r="D51" s="122"/>
      <c r="E51" s="175"/>
      <c r="F51" s="180"/>
      <c r="G51" s="122"/>
      <c r="H51" s="175"/>
      <c r="I51" s="180"/>
      <c r="J51" s="122"/>
      <c r="K51" s="175"/>
    </row>
    <row r="52" spans="1:12" s="22" customFormat="1" ht="11.5" x14ac:dyDescent="0.25">
      <c r="A52" s="880" t="s">
        <v>402</v>
      </c>
      <c r="B52" s="884">
        <f>SUM(C52:E52)</f>
        <v>0</v>
      </c>
      <c r="C52" s="908">
        <v>0</v>
      </c>
      <c r="D52" s="908">
        <v>0</v>
      </c>
      <c r="E52" s="909">
        <v>0</v>
      </c>
      <c r="F52" s="884">
        <f>SUM(G52:H52)</f>
        <v>0</v>
      </c>
      <c r="G52" s="908">
        <v>0</v>
      </c>
      <c r="H52" s="909">
        <v>0</v>
      </c>
      <c r="I52" s="884">
        <f>SUM(J52:K52)</f>
        <v>0</v>
      </c>
      <c r="J52" s="908">
        <v>0</v>
      </c>
      <c r="K52" s="893">
        <v>0</v>
      </c>
    </row>
    <row r="53" spans="1:12" s="22" customFormat="1" ht="23" x14ac:dyDescent="0.25">
      <c r="A53" s="880" t="s">
        <v>403</v>
      </c>
      <c r="B53" s="884">
        <f>SUM(C53:E53)</f>
        <v>0</v>
      </c>
      <c r="C53" s="908">
        <v>0</v>
      </c>
      <c r="D53" s="908">
        <v>0</v>
      </c>
      <c r="E53" s="909">
        <v>0</v>
      </c>
      <c r="F53" s="884">
        <f>SUM(G53:H53)</f>
        <v>0</v>
      </c>
      <c r="G53" s="908">
        <v>0</v>
      </c>
      <c r="H53" s="909">
        <v>0</v>
      </c>
      <c r="I53" s="884">
        <f>SUM(J53:K53)</f>
        <v>0</v>
      </c>
      <c r="J53" s="908">
        <v>0</v>
      </c>
      <c r="K53" s="909">
        <v>0</v>
      </c>
    </row>
    <row r="54" spans="1:12" s="22" customFormat="1" ht="14.25" customHeight="1" x14ac:dyDescent="0.25">
      <c r="A54" s="880" t="s">
        <v>404</v>
      </c>
      <c r="B54" s="884">
        <f>SUM(C54:E54)</f>
        <v>0</v>
      </c>
      <c r="C54" s="908">
        <v>0</v>
      </c>
      <c r="D54" s="908">
        <v>0</v>
      </c>
      <c r="E54" s="909">
        <v>0</v>
      </c>
      <c r="F54" s="884">
        <f>SUM(G54:H54)</f>
        <v>0</v>
      </c>
      <c r="G54" s="908">
        <v>0</v>
      </c>
      <c r="H54" s="909">
        <v>0</v>
      </c>
      <c r="I54" s="884">
        <f>SUM(J54:K54)</f>
        <v>0</v>
      </c>
      <c r="J54" s="908">
        <v>0</v>
      </c>
      <c r="K54" s="909">
        <v>0</v>
      </c>
    </row>
    <row r="55" spans="1:12" s="22" customFormat="1" ht="46" x14ac:dyDescent="0.25">
      <c r="A55" s="910" t="s">
        <v>1087</v>
      </c>
      <c r="B55" s="911">
        <f>SUM(C55:E55)</f>
        <v>3526.21</v>
      </c>
      <c r="C55" s="889">
        <f>C42</f>
        <v>479.51</v>
      </c>
      <c r="D55" s="889">
        <f>D42</f>
        <v>3046.7</v>
      </c>
      <c r="E55" s="890">
        <v>0</v>
      </c>
      <c r="F55" s="911">
        <f>SUM(G55:H55)</f>
        <v>2092.7799999999997</v>
      </c>
      <c r="G55" s="912">
        <v>688.04</v>
      </c>
      <c r="H55" s="913">
        <f>H42</f>
        <v>1404.74</v>
      </c>
      <c r="I55" s="911">
        <f>SUM(J55:K55)</f>
        <v>997.16800000000012</v>
      </c>
      <c r="J55" s="912">
        <v>264.07</v>
      </c>
      <c r="K55" s="914">
        <f>733098*0.001</f>
        <v>733.09800000000007</v>
      </c>
    </row>
    <row r="56" spans="1:12" s="22" customFormat="1" ht="120" customHeight="1" x14ac:dyDescent="0.25">
      <c r="A56" s="1007" t="s">
        <v>1321</v>
      </c>
      <c r="B56" s="1007"/>
      <c r="C56" s="1007"/>
      <c r="D56" s="1007"/>
      <c r="E56" s="1007"/>
      <c r="F56" s="1007"/>
      <c r="G56" s="1007"/>
      <c r="H56" s="1007"/>
    </row>
    <row r="58" spans="1:12" s="50" customFormat="1" ht="30" customHeight="1" thickBot="1" x14ac:dyDescent="0.4">
      <c r="A58" s="935" t="s">
        <v>1158</v>
      </c>
      <c r="B58" s="935"/>
      <c r="C58" s="935"/>
      <c r="D58" s="935"/>
      <c r="E58" s="935"/>
      <c r="F58" s="935"/>
      <c r="G58" s="935"/>
      <c r="H58" s="935"/>
      <c r="I58" s="935"/>
      <c r="J58" s="935"/>
      <c r="K58" s="935"/>
      <c r="L58" s="935"/>
    </row>
    <row r="59" spans="1:12" s="38" customFormat="1" x14ac:dyDescent="0.3">
      <c r="A59" s="17" t="s">
        <v>329</v>
      </c>
    </row>
    <row r="60" spans="1:12" x14ac:dyDescent="0.3">
      <c r="D60" s="123"/>
    </row>
    <row r="61" spans="1:12" s="30" customFormat="1" ht="11.5" x14ac:dyDescent="0.25">
      <c r="A61" s="34"/>
      <c r="B61" s="810">
        <v>2022</v>
      </c>
      <c r="C61" s="811"/>
      <c r="D61" s="811"/>
      <c r="E61" s="812"/>
      <c r="F61" s="424">
        <v>2021</v>
      </c>
      <c r="G61" s="808"/>
      <c r="H61" s="809"/>
      <c r="I61" s="424">
        <v>2020</v>
      </c>
      <c r="J61" s="808"/>
      <c r="K61" s="809"/>
    </row>
    <row r="62" spans="1:12" s="60" customFormat="1" ht="11.5" x14ac:dyDescent="0.25">
      <c r="A62" s="162" t="s">
        <v>405</v>
      </c>
      <c r="B62" s="163" t="s">
        <v>471</v>
      </c>
      <c r="C62" s="164" t="s">
        <v>461</v>
      </c>
      <c r="D62" s="164" t="s">
        <v>464</v>
      </c>
      <c r="E62" s="165" t="s">
        <v>472</v>
      </c>
      <c r="F62" s="169" t="s">
        <v>1121</v>
      </c>
      <c r="G62" s="162" t="s">
        <v>1123</v>
      </c>
      <c r="H62" s="170" t="s">
        <v>1124</v>
      </c>
      <c r="I62" s="169" t="s">
        <v>1122</v>
      </c>
      <c r="J62" s="162" t="s">
        <v>1159</v>
      </c>
      <c r="K62" s="170" t="s">
        <v>1160</v>
      </c>
    </row>
    <row r="63" spans="1:12" s="22" customFormat="1" ht="11.5" x14ac:dyDescent="0.25">
      <c r="A63" s="476" t="s">
        <v>407</v>
      </c>
      <c r="B63" s="915">
        <f>SUM(C63:E63)</f>
        <v>2295.1799999999998</v>
      </c>
      <c r="C63" s="916">
        <v>381.9</v>
      </c>
      <c r="D63" s="916">
        <v>1345.28</v>
      </c>
      <c r="E63" s="917">
        <v>568</v>
      </c>
      <c r="F63" s="918">
        <f>SUM(G63:H63)</f>
        <v>2374.259</v>
      </c>
      <c r="G63" s="916">
        <v>1183.779</v>
      </c>
      <c r="H63" s="917">
        <f>1181.38+9.1</f>
        <v>1190.48</v>
      </c>
      <c r="I63" s="918">
        <f>SUM(J63:K63)</f>
        <v>2567.54</v>
      </c>
      <c r="J63" s="467">
        <v>1391.07</v>
      </c>
      <c r="K63" s="919">
        <v>1176.47</v>
      </c>
    </row>
    <row r="64" spans="1:12" s="22" customFormat="1" ht="23" x14ac:dyDescent="0.25">
      <c r="A64" s="476" t="s">
        <v>408</v>
      </c>
      <c r="B64" s="915">
        <f>SUM(C64:E64)</f>
        <v>0</v>
      </c>
      <c r="C64" s="916">
        <v>0</v>
      </c>
      <c r="D64" s="916">
        <v>0</v>
      </c>
      <c r="E64" s="917">
        <v>0</v>
      </c>
      <c r="F64" s="918">
        <f>SUM(G64:H64)</f>
        <v>0</v>
      </c>
      <c r="G64" s="916">
        <v>0</v>
      </c>
      <c r="H64" s="917">
        <v>0</v>
      </c>
      <c r="I64" s="918">
        <f>SUM(J64:K64)</f>
        <v>0</v>
      </c>
      <c r="J64" s="467">
        <v>0</v>
      </c>
      <c r="K64" s="919">
        <v>0</v>
      </c>
    </row>
    <row r="65" spans="1:12" s="22" customFormat="1" ht="11.5" x14ac:dyDescent="0.25">
      <c r="A65" s="476" t="s">
        <v>409</v>
      </c>
      <c r="B65" s="915">
        <f>SUM(C65:E65)</f>
        <v>7809.52</v>
      </c>
      <c r="C65" s="916">
        <v>585.67999999999995</v>
      </c>
      <c r="D65" s="861">
        <v>1274.8399999999999</v>
      </c>
      <c r="E65" s="917">
        <v>5949</v>
      </c>
      <c r="F65" s="918">
        <f>SUM(G65:H65)</f>
        <v>2016.6970000000001</v>
      </c>
      <c r="G65" s="916">
        <v>621.697</v>
      </c>
      <c r="H65" s="862">
        <v>1395</v>
      </c>
      <c r="I65" s="918">
        <f>SUM(J65:K65)</f>
        <v>2408.1549999999997</v>
      </c>
      <c r="J65" s="467">
        <v>1884.4449999999999</v>
      </c>
      <c r="K65" s="919">
        <v>523.71</v>
      </c>
    </row>
    <row r="66" spans="1:12" s="22" customFormat="1" ht="23" x14ac:dyDescent="0.25">
      <c r="A66" s="476" t="s">
        <v>410</v>
      </c>
      <c r="B66" s="915">
        <f>SUM(C66:E66)</f>
        <v>10104.700000000001</v>
      </c>
      <c r="C66" s="861">
        <f>C63+C65</f>
        <v>967.57999999999993</v>
      </c>
      <c r="D66" s="861">
        <f t="shared" ref="D66:E66" si="8">D63+D65</f>
        <v>2620.12</v>
      </c>
      <c r="E66" s="862">
        <f t="shared" si="8"/>
        <v>6517</v>
      </c>
      <c r="F66" s="918">
        <f>SUM(G66:H66)</f>
        <v>4381.8559999999998</v>
      </c>
      <c r="G66" s="861">
        <v>1805.4760000000001</v>
      </c>
      <c r="H66" s="862">
        <v>2576.38</v>
      </c>
      <c r="I66" s="918">
        <f>SUM(J66:K66)</f>
        <v>4975.6989999999996</v>
      </c>
      <c r="J66" s="467">
        <v>3275.5189999999993</v>
      </c>
      <c r="K66" s="919">
        <v>1700.18</v>
      </c>
    </row>
    <row r="67" spans="1:12" s="22" customFormat="1" ht="23" x14ac:dyDescent="0.25">
      <c r="A67" s="515" t="s">
        <v>411</v>
      </c>
      <c r="B67" s="920">
        <f>B65/B66</f>
        <v>0.772860154185676</v>
      </c>
      <c r="C67" s="530">
        <f>C65/C66</f>
        <v>0.60530395419500194</v>
      </c>
      <c r="D67" s="530">
        <f t="shared" ref="D67:E67" si="9">D65/D66</f>
        <v>0.48655786757858416</v>
      </c>
      <c r="E67" s="921">
        <f t="shared" si="9"/>
        <v>0.91284333282185059</v>
      </c>
      <c r="F67" s="922">
        <f>F65/F66</f>
        <v>0.46023808176261388</v>
      </c>
      <c r="G67" s="530">
        <v>0.34433966444306097</v>
      </c>
      <c r="H67" s="921">
        <v>0.54145739370744994</v>
      </c>
      <c r="I67" s="922">
        <f>I65/I66</f>
        <v>0.48398325541798248</v>
      </c>
      <c r="J67" s="530">
        <f>J65/J66</f>
        <v>0.57531188187276594</v>
      </c>
      <c r="K67" s="921">
        <f>K65/K66</f>
        <v>0.30803209071980614</v>
      </c>
    </row>
    <row r="68" spans="1:12" s="22" customFormat="1" ht="78.75" customHeight="1" x14ac:dyDescent="0.25">
      <c r="A68" s="947" t="s">
        <v>1322</v>
      </c>
      <c r="B68" s="947"/>
      <c r="C68" s="947"/>
      <c r="D68" s="947"/>
      <c r="E68" s="947"/>
      <c r="F68" s="947"/>
      <c r="G68" s="947"/>
      <c r="H68" s="947"/>
      <c r="I68" s="947"/>
      <c r="J68" s="947"/>
      <c r="K68" s="947"/>
    </row>
    <row r="69" spans="1:12" x14ac:dyDescent="0.3">
      <c r="A69" s="124" t="s">
        <v>412</v>
      </c>
      <c r="B69" s="125"/>
      <c r="C69" s="125"/>
      <c r="D69" s="125"/>
      <c r="E69" s="125"/>
      <c r="F69" s="125"/>
      <c r="G69" s="125"/>
      <c r="H69" s="125"/>
    </row>
    <row r="70" spans="1:12" s="50" customFormat="1" ht="30" customHeight="1" thickBot="1" x14ac:dyDescent="0.4">
      <c r="A70" s="935" t="s">
        <v>579</v>
      </c>
      <c r="B70" s="935"/>
      <c r="C70" s="935"/>
      <c r="D70" s="935"/>
      <c r="E70" s="935"/>
      <c r="F70" s="935"/>
      <c r="G70" s="935"/>
      <c r="H70" s="935"/>
      <c r="I70" s="935"/>
      <c r="J70" s="935"/>
      <c r="K70" s="935"/>
      <c r="L70" s="935"/>
    </row>
    <row r="71" spans="1:12" s="38" customFormat="1" x14ac:dyDescent="0.3">
      <c r="A71" s="17" t="s">
        <v>586</v>
      </c>
    </row>
    <row r="72" spans="1:12" x14ac:dyDescent="0.3">
      <c r="D72" s="123"/>
    </row>
    <row r="73" spans="1:12" x14ac:dyDescent="0.3">
      <c r="A73" s="158" t="s">
        <v>579</v>
      </c>
      <c r="B73" s="159" t="s">
        <v>548</v>
      </c>
      <c r="C73" s="160" t="s">
        <v>331</v>
      </c>
      <c r="D73" s="161" t="s">
        <v>330</v>
      </c>
    </row>
    <row r="74" spans="1:12" s="18" customFormat="1" x14ac:dyDescent="0.3">
      <c r="A74" s="370" t="s">
        <v>580</v>
      </c>
      <c r="B74" s="923">
        <v>3107</v>
      </c>
      <c r="C74" s="923">
        <v>4457.929000000001</v>
      </c>
      <c r="D74" s="924">
        <v>3564.71</v>
      </c>
    </row>
    <row r="75" spans="1:12" s="18" customFormat="1" x14ac:dyDescent="0.3">
      <c r="A75" s="373" t="s">
        <v>387</v>
      </c>
      <c r="B75" s="925">
        <v>2308</v>
      </c>
      <c r="C75" s="926">
        <v>4045.6190000000006</v>
      </c>
      <c r="D75" s="927">
        <v>3201.9300000000003</v>
      </c>
    </row>
    <row r="76" spans="1:12" s="18" customFormat="1" x14ac:dyDescent="0.3">
      <c r="A76" s="373" t="s">
        <v>581</v>
      </c>
      <c r="B76" s="925">
        <v>785</v>
      </c>
      <c r="C76" s="926">
        <v>389.16999999999996</v>
      </c>
      <c r="D76" s="927">
        <v>337.7</v>
      </c>
    </row>
    <row r="77" spans="1:12" s="18" customFormat="1" x14ac:dyDescent="0.3">
      <c r="A77" s="373" t="s">
        <v>582</v>
      </c>
      <c r="B77" s="925">
        <v>14</v>
      </c>
      <c r="C77" s="926">
        <v>23.14</v>
      </c>
      <c r="D77" s="927">
        <v>25.080000000000002</v>
      </c>
    </row>
    <row r="78" spans="1:12" s="18" customFormat="1" x14ac:dyDescent="0.3">
      <c r="A78" s="370" t="s">
        <v>583</v>
      </c>
      <c r="B78" s="923">
        <v>3526.21</v>
      </c>
      <c r="C78" s="928">
        <v>2092.7799999999997</v>
      </c>
      <c r="D78" s="924">
        <v>997.16800000000012</v>
      </c>
    </row>
    <row r="79" spans="1:12" s="18" customFormat="1" x14ac:dyDescent="0.3">
      <c r="A79" s="370" t="s">
        <v>584</v>
      </c>
      <c r="B79" s="923">
        <v>2295.1799999999998</v>
      </c>
      <c r="C79" s="928">
        <v>2374.259</v>
      </c>
      <c r="D79" s="924">
        <v>2567.54</v>
      </c>
    </row>
    <row r="80" spans="1:12" s="18" customFormat="1" x14ac:dyDescent="0.3">
      <c r="A80" s="370" t="s">
        <v>585</v>
      </c>
      <c r="B80" s="923">
        <v>10104.700000000001</v>
      </c>
      <c r="C80" s="929">
        <v>4390.9560000000001</v>
      </c>
      <c r="D80" s="924">
        <v>4975.6989999999996</v>
      </c>
    </row>
    <row r="81" spans="1:4" s="18" customFormat="1" x14ac:dyDescent="0.3">
      <c r="A81" s="370" t="s">
        <v>337</v>
      </c>
      <c r="B81" s="930">
        <v>0.772860154185676</v>
      </c>
      <c r="C81" s="931">
        <v>0.46023808176261388</v>
      </c>
      <c r="D81" s="932">
        <v>0.48398325541798248</v>
      </c>
    </row>
  </sheetData>
  <mergeCells count="20">
    <mergeCell ref="A35:M35"/>
    <mergeCell ref="A56:H56"/>
    <mergeCell ref="A68:K68"/>
    <mergeCell ref="A70:D70"/>
    <mergeCell ref="E70:H70"/>
    <mergeCell ref="I70:L70"/>
    <mergeCell ref="A37:D37"/>
    <mergeCell ref="E37:H37"/>
    <mergeCell ref="I37:L37"/>
    <mergeCell ref="A58:D58"/>
    <mergeCell ref="E58:H58"/>
    <mergeCell ref="I58:L58"/>
    <mergeCell ref="A1:D1"/>
    <mergeCell ref="E1:H1"/>
    <mergeCell ref="I1:L1"/>
    <mergeCell ref="A11:D11"/>
    <mergeCell ref="E11:H11"/>
    <mergeCell ref="I11:L11"/>
    <mergeCell ref="A5:A6"/>
    <mergeCell ref="A9:H9"/>
  </mergeCells>
  <pageMargins left="0.7" right="0.7" top="0.75" bottom="0.75" header="0.3" footer="0.3"/>
  <pageSetup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91687-AB8E-48DF-9590-DC4C686AC8CE}">
  <dimension ref="A1:L46"/>
  <sheetViews>
    <sheetView showGridLines="0" zoomScale="90" zoomScaleNormal="90" workbookViewId="0">
      <selection activeCell="J8" sqref="J8"/>
    </sheetView>
  </sheetViews>
  <sheetFormatPr defaultColWidth="8.81640625" defaultRowHeight="14" x14ac:dyDescent="0.3"/>
  <cols>
    <col min="1" max="1" width="25.453125" style="52" customWidth="1"/>
    <col min="2" max="2" width="14.7265625" style="117" customWidth="1"/>
    <col min="3" max="3" width="108" style="52" customWidth="1"/>
    <col min="4" max="4" width="64.1796875" style="52" customWidth="1"/>
    <col min="5" max="16384" width="8.81640625" style="52"/>
  </cols>
  <sheetData>
    <row r="1" spans="1:12" s="37" customFormat="1" ht="36.75" customHeight="1" thickBot="1" x14ac:dyDescent="0.45">
      <c r="A1" s="935" t="s">
        <v>842</v>
      </c>
      <c r="B1" s="935"/>
      <c r="C1" s="935"/>
      <c r="D1" s="92"/>
      <c r="E1" s="114"/>
      <c r="F1" s="114"/>
      <c r="G1" s="114"/>
      <c r="H1" s="114"/>
      <c r="I1" s="114"/>
      <c r="J1" s="114"/>
      <c r="K1" s="114"/>
      <c r="L1" s="114"/>
    </row>
    <row r="2" spans="1:12" s="46" customFormat="1" x14ac:dyDescent="0.3">
      <c r="B2" s="115"/>
    </row>
    <row r="3" spans="1:12" s="116" customFormat="1" x14ac:dyDescent="0.3">
      <c r="A3" s="151" t="s">
        <v>413</v>
      </c>
      <c r="B3" s="152" t="s">
        <v>414</v>
      </c>
      <c r="C3" s="152" t="s">
        <v>415</v>
      </c>
      <c r="D3" s="153" t="s">
        <v>109</v>
      </c>
    </row>
    <row r="4" spans="1:12" s="37" customFormat="1" x14ac:dyDescent="0.3">
      <c r="A4" s="154" t="s">
        <v>110</v>
      </c>
      <c r="B4" s="155"/>
      <c r="C4" s="155"/>
      <c r="D4" s="156"/>
    </row>
    <row r="5" spans="1:12" s="18" customFormat="1" ht="34.5" x14ac:dyDescent="0.3">
      <c r="A5" s="367" t="s">
        <v>418</v>
      </c>
      <c r="B5" s="358" t="s">
        <v>863</v>
      </c>
      <c r="C5" s="474" t="s">
        <v>442</v>
      </c>
      <c r="D5" s="356" t="s">
        <v>432</v>
      </c>
    </row>
    <row r="6" spans="1:12" s="18" customFormat="1" ht="34.5" x14ac:dyDescent="0.3">
      <c r="A6" s="367" t="s">
        <v>441</v>
      </c>
      <c r="B6" s="358" t="s">
        <v>444</v>
      </c>
      <c r="C6" s="474" t="s">
        <v>443</v>
      </c>
      <c r="D6" s="356" t="s">
        <v>432</v>
      </c>
    </row>
    <row r="7" spans="1:12" s="18" customFormat="1" ht="34.5" x14ac:dyDescent="0.3">
      <c r="A7" s="367" t="s">
        <v>1088</v>
      </c>
      <c r="B7" s="358" t="s">
        <v>864</v>
      </c>
      <c r="C7" s="474" t="s">
        <v>1089</v>
      </c>
      <c r="D7" s="356" t="s">
        <v>433</v>
      </c>
    </row>
    <row r="8" spans="1:12" s="18" customFormat="1" ht="46" x14ac:dyDescent="0.3">
      <c r="A8" s="367" t="s">
        <v>419</v>
      </c>
      <c r="B8" s="358" t="s">
        <v>444</v>
      </c>
      <c r="C8" s="474" t="s">
        <v>446</v>
      </c>
      <c r="D8" s="356" t="s">
        <v>433</v>
      </c>
    </row>
    <row r="9" spans="1:12" s="18" customFormat="1" ht="27.75" customHeight="1" x14ac:dyDescent="0.3">
      <c r="A9" s="367" t="s">
        <v>422</v>
      </c>
      <c r="B9" s="358" t="s">
        <v>864</v>
      </c>
      <c r="C9" s="474" t="s">
        <v>447</v>
      </c>
      <c r="D9" s="356" t="s">
        <v>433</v>
      </c>
    </row>
    <row r="10" spans="1:12" s="18" customFormat="1" ht="34.5" x14ac:dyDescent="0.3">
      <c r="A10" s="367" t="s">
        <v>420</v>
      </c>
      <c r="B10" s="358" t="s">
        <v>444</v>
      </c>
      <c r="C10" s="474" t="s">
        <v>445</v>
      </c>
      <c r="D10" s="356" t="s">
        <v>434</v>
      </c>
    </row>
    <row r="11" spans="1:12" s="18" customFormat="1" ht="34.5" x14ac:dyDescent="0.3">
      <c r="A11" s="367" t="s">
        <v>421</v>
      </c>
      <c r="B11" s="358" t="s">
        <v>444</v>
      </c>
      <c r="C11" s="474" t="s">
        <v>1090</v>
      </c>
      <c r="D11" s="356" t="s">
        <v>434</v>
      </c>
    </row>
    <row r="12" spans="1:12" s="37" customFormat="1" x14ac:dyDescent="0.3">
      <c r="A12" s="154" t="s">
        <v>416</v>
      </c>
      <c r="B12" s="155"/>
      <c r="C12" s="155"/>
      <c r="D12" s="156"/>
    </row>
    <row r="13" spans="1:12" s="18" customFormat="1" ht="34.5" x14ac:dyDescent="0.3">
      <c r="A13" s="367" t="s">
        <v>424</v>
      </c>
      <c r="B13" s="358" t="s">
        <v>863</v>
      </c>
      <c r="C13" s="474" t="s">
        <v>458</v>
      </c>
      <c r="D13" s="356" t="s">
        <v>839</v>
      </c>
    </row>
    <row r="14" spans="1:12" s="18" customFormat="1" ht="34.5" x14ac:dyDescent="0.3">
      <c r="A14" s="367" t="s">
        <v>428</v>
      </c>
      <c r="B14" s="358" t="s">
        <v>863</v>
      </c>
      <c r="C14" s="474" t="s">
        <v>457</v>
      </c>
      <c r="D14" s="356" t="s">
        <v>440</v>
      </c>
    </row>
    <row r="15" spans="1:12" s="934" customFormat="1" ht="103.5" x14ac:dyDescent="0.35">
      <c r="A15" s="933" t="s">
        <v>448</v>
      </c>
      <c r="B15" s="358" t="s">
        <v>863</v>
      </c>
      <c r="C15" s="474" t="s">
        <v>1249</v>
      </c>
      <c r="D15" s="356" t="s">
        <v>435</v>
      </c>
    </row>
    <row r="16" spans="1:12" s="18" customFormat="1" ht="23" x14ac:dyDescent="0.3">
      <c r="A16" s="367" t="s">
        <v>423</v>
      </c>
      <c r="B16" s="358" t="s">
        <v>863</v>
      </c>
      <c r="C16" s="474" t="s">
        <v>1091</v>
      </c>
      <c r="D16" s="356" t="s">
        <v>436</v>
      </c>
    </row>
    <row r="17" spans="1:12" s="18" customFormat="1" ht="50.25" customHeight="1" x14ac:dyDescent="0.3">
      <c r="A17" s="367" t="s">
        <v>429</v>
      </c>
      <c r="B17" s="358" t="s">
        <v>863</v>
      </c>
      <c r="C17" s="474" t="s">
        <v>1092</v>
      </c>
      <c r="D17" s="356" t="s">
        <v>436</v>
      </c>
    </row>
    <row r="18" spans="1:12" s="18" customFormat="1" ht="103.5" x14ac:dyDescent="0.3">
      <c r="A18" s="933" t="s">
        <v>450</v>
      </c>
      <c r="B18" s="358" t="s">
        <v>444</v>
      </c>
      <c r="C18" s="474" t="s">
        <v>452</v>
      </c>
      <c r="D18" s="356" t="s">
        <v>437</v>
      </c>
    </row>
    <row r="19" spans="1:12" s="18" customFormat="1" ht="57.5" x14ac:dyDescent="0.3">
      <c r="A19" s="933" t="s">
        <v>449</v>
      </c>
      <c r="B19" s="358" t="s">
        <v>444</v>
      </c>
      <c r="C19" s="474" t="s">
        <v>451</v>
      </c>
      <c r="D19" s="356" t="s">
        <v>439</v>
      </c>
    </row>
    <row r="20" spans="1:12" s="18" customFormat="1" ht="34.5" x14ac:dyDescent="0.3">
      <c r="A20" s="367" t="s">
        <v>425</v>
      </c>
      <c r="B20" s="358" t="s">
        <v>863</v>
      </c>
      <c r="C20" s="474" t="s">
        <v>453</v>
      </c>
      <c r="D20" s="356" t="s">
        <v>438</v>
      </c>
    </row>
    <row r="21" spans="1:12" s="18" customFormat="1" ht="34.5" x14ac:dyDescent="0.3">
      <c r="A21" s="367" t="s">
        <v>426</v>
      </c>
      <c r="B21" s="358" t="s">
        <v>863</v>
      </c>
      <c r="C21" s="358" t="s">
        <v>454</v>
      </c>
      <c r="D21" s="356" t="s">
        <v>438</v>
      </c>
    </row>
    <row r="22" spans="1:12" s="18" customFormat="1" ht="23" x14ac:dyDescent="0.3">
      <c r="A22" s="367" t="s">
        <v>427</v>
      </c>
      <c r="B22" s="358" t="s">
        <v>863</v>
      </c>
      <c r="C22" s="474" t="s">
        <v>456</v>
      </c>
      <c r="D22" s="356" t="s">
        <v>840</v>
      </c>
    </row>
    <row r="23" spans="1:12" s="37" customFormat="1" x14ac:dyDescent="0.3">
      <c r="A23" s="154" t="s">
        <v>417</v>
      </c>
      <c r="B23" s="155"/>
      <c r="C23" s="155"/>
      <c r="D23" s="156"/>
    </row>
    <row r="24" spans="1:12" s="18" customFormat="1" ht="57.5" x14ac:dyDescent="0.3">
      <c r="A24" s="367" t="s">
        <v>430</v>
      </c>
      <c r="B24" s="358" t="s">
        <v>863</v>
      </c>
      <c r="C24" s="474" t="s">
        <v>1093</v>
      </c>
      <c r="D24" s="356" t="s">
        <v>438</v>
      </c>
    </row>
    <row r="25" spans="1:12" s="18" customFormat="1" ht="25.5" customHeight="1" x14ac:dyDescent="0.3">
      <c r="A25" s="367" t="s">
        <v>455</v>
      </c>
      <c r="B25" s="358" t="s">
        <v>863</v>
      </c>
      <c r="C25" s="474" t="s">
        <v>459</v>
      </c>
      <c r="D25" s="356" t="s">
        <v>840</v>
      </c>
    </row>
    <row r="26" spans="1:12" s="18" customFormat="1" ht="46" x14ac:dyDescent="0.3">
      <c r="A26" s="367" t="s">
        <v>1094</v>
      </c>
      <c r="B26" s="358" t="s">
        <v>863</v>
      </c>
      <c r="C26" s="474" t="s">
        <v>1095</v>
      </c>
      <c r="D26" s="356" t="s">
        <v>840</v>
      </c>
    </row>
    <row r="27" spans="1:12" s="18" customFormat="1" ht="23" x14ac:dyDescent="0.3">
      <c r="A27" s="367" t="s">
        <v>431</v>
      </c>
      <c r="B27" s="358" t="s">
        <v>863</v>
      </c>
      <c r="C27" s="474" t="s">
        <v>460</v>
      </c>
      <c r="D27" s="356" t="s">
        <v>840</v>
      </c>
    </row>
    <row r="28" spans="1:12" s="37" customFormat="1" x14ac:dyDescent="0.3">
      <c r="B28" s="43"/>
    </row>
    <row r="29" spans="1:12" s="37" customFormat="1" ht="36.75" customHeight="1" thickBot="1" x14ac:dyDescent="0.45">
      <c r="A29" s="935" t="s">
        <v>841</v>
      </c>
      <c r="B29" s="935"/>
      <c r="C29" s="935"/>
      <c r="D29" s="114"/>
      <c r="E29" s="114"/>
      <c r="F29" s="114"/>
      <c r="G29" s="114"/>
      <c r="H29" s="114"/>
      <c r="I29" s="114"/>
      <c r="J29" s="114"/>
      <c r="K29" s="114"/>
      <c r="L29" s="114"/>
    </row>
    <row r="31" spans="1:12" s="118" customFormat="1" ht="11.5" x14ac:dyDescent="0.25">
      <c r="A31" s="157" t="s">
        <v>844</v>
      </c>
      <c r="B31" s="157" t="s">
        <v>845</v>
      </c>
      <c r="C31" s="157" t="s">
        <v>843</v>
      </c>
    </row>
    <row r="32" spans="1:12" s="22" customFormat="1" ht="34.5" x14ac:dyDescent="0.25">
      <c r="A32" s="478" t="s">
        <v>846</v>
      </c>
      <c r="B32" s="358" t="s">
        <v>39</v>
      </c>
      <c r="C32" s="474" t="s">
        <v>852</v>
      </c>
    </row>
    <row r="33" spans="1:3" s="22" customFormat="1" ht="39" customHeight="1" x14ac:dyDescent="0.25">
      <c r="A33" s="478" t="s">
        <v>846</v>
      </c>
      <c r="B33" s="358" t="s">
        <v>40</v>
      </c>
      <c r="C33" s="358" t="s">
        <v>859</v>
      </c>
    </row>
    <row r="34" spans="1:3" s="22" customFormat="1" ht="112.5" customHeight="1" x14ac:dyDescent="0.25">
      <c r="A34" s="478" t="s">
        <v>846</v>
      </c>
      <c r="B34" s="358" t="s">
        <v>45</v>
      </c>
      <c r="C34" s="358" t="s">
        <v>853</v>
      </c>
    </row>
    <row r="35" spans="1:3" s="22" customFormat="1" ht="76.5" customHeight="1" x14ac:dyDescent="0.25">
      <c r="A35" s="478" t="s">
        <v>846</v>
      </c>
      <c r="B35" s="358" t="s">
        <v>51</v>
      </c>
      <c r="C35" s="358" t="s">
        <v>1255</v>
      </c>
    </row>
    <row r="36" spans="1:3" s="22" customFormat="1" ht="87" customHeight="1" x14ac:dyDescent="0.25">
      <c r="A36" s="478" t="s">
        <v>846</v>
      </c>
      <c r="B36" s="358" t="s">
        <v>61</v>
      </c>
      <c r="C36" s="358" t="s">
        <v>858</v>
      </c>
    </row>
    <row r="37" spans="1:3" s="22" customFormat="1" ht="184" x14ac:dyDescent="0.25">
      <c r="A37" s="478" t="s">
        <v>850</v>
      </c>
      <c r="B37" s="358" t="s">
        <v>64</v>
      </c>
      <c r="C37" s="358" t="s">
        <v>857</v>
      </c>
    </row>
    <row r="38" spans="1:3" s="22" customFormat="1" ht="150" customHeight="1" x14ac:dyDescent="0.25">
      <c r="A38" s="478" t="s">
        <v>850</v>
      </c>
      <c r="B38" s="358" t="s">
        <v>76</v>
      </c>
      <c r="C38" s="358" t="s">
        <v>1256</v>
      </c>
    </row>
    <row r="39" spans="1:3" s="22" customFormat="1" ht="114" customHeight="1" x14ac:dyDescent="0.25">
      <c r="A39" s="478" t="s">
        <v>850</v>
      </c>
      <c r="B39" s="358" t="s">
        <v>847</v>
      </c>
      <c r="C39" s="358" t="s">
        <v>854</v>
      </c>
    </row>
    <row r="40" spans="1:3" s="22" customFormat="1" ht="67.5" customHeight="1" x14ac:dyDescent="0.25">
      <c r="A40" s="478" t="s">
        <v>850</v>
      </c>
      <c r="B40" s="358" t="s">
        <v>91</v>
      </c>
      <c r="C40" s="358" t="s">
        <v>855</v>
      </c>
    </row>
    <row r="41" spans="1:3" s="22" customFormat="1" ht="45" customHeight="1" x14ac:dyDescent="0.25">
      <c r="A41" s="478" t="s">
        <v>850</v>
      </c>
      <c r="B41" s="358" t="s">
        <v>848</v>
      </c>
      <c r="C41" s="358" t="s">
        <v>856</v>
      </c>
    </row>
    <row r="42" spans="1:3" s="22" customFormat="1" ht="103.5" customHeight="1" x14ac:dyDescent="0.25">
      <c r="A42" s="478" t="s">
        <v>850</v>
      </c>
      <c r="B42" s="358" t="s">
        <v>100</v>
      </c>
      <c r="C42" s="358" t="s">
        <v>1096</v>
      </c>
    </row>
    <row r="43" spans="1:3" s="22" customFormat="1" ht="92.25" customHeight="1" x14ac:dyDescent="0.25">
      <c r="A43" s="478" t="s">
        <v>851</v>
      </c>
      <c r="B43" s="358" t="s">
        <v>24</v>
      </c>
      <c r="C43" s="474" t="s">
        <v>1257</v>
      </c>
    </row>
    <row r="44" spans="1:3" s="22" customFormat="1" ht="25.5" customHeight="1" x14ac:dyDescent="0.25">
      <c r="A44" s="478" t="s">
        <v>851</v>
      </c>
      <c r="B44" s="358" t="s">
        <v>849</v>
      </c>
      <c r="C44" s="474" t="s">
        <v>860</v>
      </c>
    </row>
    <row r="45" spans="1:3" s="22" customFormat="1" ht="114.75" customHeight="1" x14ac:dyDescent="0.25">
      <c r="A45" s="478" t="s">
        <v>851</v>
      </c>
      <c r="B45" s="358" t="s">
        <v>33</v>
      </c>
      <c r="C45" s="358" t="s">
        <v>861</v>
      </c>
    </row>
    <row r="46" spans="1:3" s="18" customFormat="1" ht="32.25" customHeight="1" x14ac:dyDescent="0.3">
      <c r="A46" s="480" t="s">
        <v>851</v>
      </c>
      <c r="B46" s="363" t="s">
        <v>36</v>
      </c>
      <c r="C46" s="360" t="s">
        <v>862</v>
      </c>
    </row>
  </sheetData>
  <mergeCells count="2">
    <mergeCell ref="A1:C1"/>
    <mergeCell ref="A29:C29"/>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45EA-D06A-447E-A7EE-ED8A8BE040AB}">
  <dimension ref="A1:S56"/>
  <sheetViews>
    <sheetView showGridLines="0" zoomScale="90" zoomScaleNormal="90" workbookViewId="0">
      <selection activeCell="A56" sqref="A56:B56"/>
    </sheetView>
  </sheetViews>
  <sheetFormatPr defaultColWidth="11.453125" defaultRowHeight="14" x14ac:dyDescent="0.3"/>
  <cols>
    <col min="1" max="1" width="49.26953125" style="37" customWidth="1"/>
    <col min="2" max="2" width="63.1796875" style="37" customWidth="1"/>
    <col min="3" max="3" width="67.453125" style="37" customWidth="1"/>
    <col min="4" max="4" width="48.453125" style="37" customWidth="1"/>
    <col min="5" max="5" width="35.453125" style="37" customWidth="1"/>
    <col min="6" max="6" width="68" style="37" customWidth="1"/>
    <col min="7" max="7" width="26.7265625" style="37" customWidth="1"/>
    <col min="8" max="16384" width="11.453125" style="37"/>
  </cols>
  <sheetData>
    <row r="1" spans="1:12" ht="36.75" customHeight="1" thickBot="1" x14ac:dyDescent="0.4">
      <c r="A1" s="935" t="s">
        <v>12</v>
      </c>
      <c r="B1" s="935"/>
      <c r="C1" s="935"/>
      <c r="D1" s="935"/>
      <c r="E1" s="935"/>
      <c r="F1" s="935"/>
      <c r="G1" s="935"/>
      <c r="H1" s="935"/>
      <c r="I1" s="935"/>
      <c r="J1" s="935"/>
      <c r="K1" s="935"/>
      <c r="L1" s="935"/>
    </row>
    <row r="2" spans="1:12" s="46" customFormat="1" x14ac:dyDescent="0.3">
      <c r="A2" s="17" t="s">
        <v>111</v>
      </c>
    </row>
    <row r="4" spans="1:12" s="47" customFormat="1" ht="12.5" x14ac:dyDescent="0.25">
      <c r="A4" s="143" t="s">
        <v>870</v>
      </c>
      <c r="B4" s="143" t="s">
        <v>871</v>
      </c>
      <c r="C4" s="143" t="s">
        <v>872</v>
      </c>
      <c r="D4" s="143" t="s">
        <v>112</v>
      </c>
    </row>
    <row r="5" spans="1:12" s="84" customFormat="1" ht="60" customHeight="1" x14ac:dyDescent="0.25">
      <c r="A5" s="358" t="s">
        <v>461</v>
      </c>
      <c r="B5" s="358" t="s">
        <v>462</v>
      </c>
      <c r="C5" s="464">
        <v>1</v>
      </c>
      <c r="D5" s="358" t="s">
        <v>463</v>
      </c>
    </row>
    <row r="6" spans="1:12" s="84" customFormat="1" ht="66.75" customHeight="1" x14ac:dyDescent="0.25">
      <c r="A6" s="358" t="s">
        <v>464</v>
      </c>
      <c r="B6" s="358" t="s">
        <v>465</v>
      </c>
      <c r="C6" s="464">
        <v>1</v>
      </c>
      <c r="D6" s="358" t="s">
        <v>466</v>
      </c>
    </row>
    <row r="7" spans="1:12" s="84" customFormat="1" ht="46" x14ac:dyDescent="0.25">
      <c r="A7" s="363" t="s">
        <v>467</v>
      </c>
      <c r="B7" s="363" t="s">
        <v>468</v>
      </c>
      <c r="C7" s="465">
        <v>1</v>
      </c>
      <c r="D7" s="363" t="s">
        <v>469</v>
      </c>
    </row>
    <row r="8" spans="1:12" s="18" customFormat="1" ht="54.75" customHeight="1" x14ac:dyDescent="0.3">
      <c r="A8" s="939" t="s">
        <v>1270</v>
      </c>
      <c r="B8" s="939"/>
      <c r="C8" s="939"/>
      <c r="D8" s="939"/>
    </row>
    <row r="10" spans="1:12" ht="36.75" customHeight="1" thickBot="1" x14ac:dyDescent="0.4">
      <c r="A10" s="935" t="s">
        <v>865</v>
      </c>
      <c r="B10" s="935"/>
      <c r="C10" s="935"/>
      <c r="D10" s="935"/>
      <c r="E10" s="935"/>
      <c r="F10" s="935"/>
      <c r="G10" s="935"/>
      <c r="H10" s="935"/>
      <c r="I10" s="935"/>
      <c r="J10" s="935"/>
      <c r="K10" s="935"/>
      <c r="L10" s="935"/>
    </row>
    <row r="11" spans="1:12" s="46" customFormat="1" x14ac:dyDescent="0.3">
      <c r="A11" s="17" t="s">
        <v>115</v>
      </c>
    </row>
    <row r="13" spans="1:12" x14ac:dyDescent="0.3">
      <c r="A13" s="142" t="s">
        <v>470</v>
      </c>
      <c r="B13" s="142" t="s">
        <v>471</v>
      </c>
      <c r="C13" s="142" t="s">
        <v>461</v>
      </c>
      <c r="D13" s="142" t="s">
        <v>464</v>
      </c>
      <c r="E13" s="142" t="s">
        <v>472</v>
      </c>
    </row>
    <row r="14" spans="1:12" s="18" customFormat="1" x14ac:dyDescent="0.3">
      <c r="A14" s="358" t="s">
        <v>473</v>
      </c>
      <c r="B14" s="466">
        <f>SUM(Table82[[#This Row],[El Limon Complex]:[Pan Mine]])</f>
        <v>6937661</v>
      </c>
      <c r="C14" s="467">
        <v>494481</v>
      </c>
      <c r="D14" s="467">
        <v>1120559</v>
      </c>
      <c r="E14" s="467">
        <v>5322621</v>
      </c>
    </row>
    <row r="15" spans="1:12" s="18" customFormat="1" x14ac:dyDescent="0.3">
      <c r="A15" s="363" t="s">
        <v>474</v>
      </c>
      <c r="B15" s="468">
        <f>SUM(Table82[[#This Row],[El Limon Complex]:[Pan Mine]])</f>
        <v>221999</v>
      </c>
      <c r="C15" s="469">
        <v>76171</v>
      </c>
      <c r="D15" s="469">
        <v>104319</v>
      </c>
      <c r="E15" s="469">
        <v>41509</v>
      </c>
    </row>
    <row r="17" spans="1:19" ht="36.75" customHeight="1" thickBot="1" x14ac:dyDescent="0.4">
      <c r="A17" s="935" t="s">
        <v>16</v>
      </c>
      <c r="B17" s="935"/>
      <c r="C17" s="935"/>
      <c r="D17" s="935"/>
      <c r="E17" s="935"/>
      <c r="F17" s="935"/>
      <c r="G17" s="935"/>
      <c r="H17" s="935"/>
      <c r="I17" s="935"/>
      <c r="J17" s="935"/>
      <c r="K17" s="935"/>
      <c r="L17" s="935"/>
    </row>
    <row r="18" spans="1:19" s="46" customFormat="1" x14ac:dyDescent="0.3">
      <c r="A18" s="17" t="s">
        <v>116</v>
      </c>
    </row>
    <row r="20" spans="1:19" s="51" customFormat="1" x14ac:dyDescent="0.3">
      <c r="A20" s="142" t="s">
        <v>873</v>
      </c>
      <c r="B20" s="142" t="s">
        <v>117</v>
      </c>
      <c r="C20" s="142" t="s">
        <v>874</v>
      </c>
      <c r="D20" s="142" t="s">
        <v>875</v>
      </c>
      <c r="E20" s="50"/>
      <c r="F20" s="50"/>
      <c r="G20" s="50"/>
      <c r="H20" s="50"/>
      <c r="I20" s="50"/>
      <c r="J20" s="50"/>
      <c r="K20" s="50"/>
      <c r="L20" s="50"/>
      <c r="M20" s="50"/>
      <c r="N20" s="50"/>
      <c r="O20" s="50"/>
      <c r="P20" s="50"/>
      <c r="Q20" s="50"/>
      <c r="R20" s="50"/>
      <c r="S20" s="50"/>
    </row>
    <row r="21" spans="1:19" s="18" customFormat="1" ht="84" customHeight="1" x14ac:dyDescent="0.3">
      <c r="A21" s="470" t="s">
        <v>118</v>
      </c>
      <c r="B21" s="358" t="s">
        <v>524</v>
      </c>
      <c r="C21" s="358" t="s">
        <v>529</v>
      </c>
      <c r="D21" s="358" t="s">
        <v>525</v>
      </c>
      <c r="E21" s="16"/>
      <c r="F21" s="16"/>
      <c r="G21" s="16"/>
      <c r="H21" s="16"/>
      <c r="I21" s="16"/>
      <c r="J21" s="16"/>
      <c r="K21" s="16"/>
      <c r="L21" s="16"/>
      <c r="M21" s="16"/>
      <c r="N21" s="16"/>
      <c r="O21" s="16"/>
      <c r="P21" s="16"/>
      <c r="Q21" s="16"/>
      <c r="R21" s="16"/>
      <c r="S21" s="16"/>
    </row>
    <row r="22" spans="1:19" s="18" customFormat="1" ht="38.25" customHeight="1" x14ac:dyDescent="0.3">
      <c r="A22" s="470" t="s">
        <v>119</v>
      </c>
      <c r="B22" s="358" t="s">
        <v>120</v>
      </c>
      <c r="C22" s="358" t="s">
        <v>1097</v>
      </c>
      <c r="D22" s="358" t="s">
        <v>742</v>
      </c>
    </row>
    <row r="23" spans="1:19" s="18" customFormat="1" ht="60" customHeight="1" x14ac:dyDescent="0.3">
      <c r="A23" s="471" t="s">
        <v>528</v>
      </c>
      <c r="B23" s="363" t="s">
        <v>526</v>
      </c>
      <c r="C23" s="363" t="s">
        <v>1098</v>
      </c>
      <c r="D23" s="363" t="s">
        <v>527</v>
      </c>
    </row>
    <row r="25" spans="1:19" x14ac:dyDescent="0.3">
      <c r="A25" s="148" t="s">
        <v>876</v>
      </c>
      <c r="B25" s="149" t="s">
        <v>117</v>
      </c>
    </row>
    <row r="26" spans="1:19" s="18" customFormat="1" ht="57.5" x14ac:dyDescent="0.3">
      <c r="A26" s="470" t="s">
        <v>121</v>
      </c>
      <c r="B26" s="368" t="s">
        <v>122</v>
      </c>
    </row>
    <row r="27" spans="1:19" s="18" customFormat="1" ht="57.5" x14ac:dyDescent="0.3">
      <c r="A27" s="470" t="s">
        <v>123</v>
      </c>
      <c r="B27" s="368" t="s">
        <v>124</v>
      </c>
    </row>
    <row r="28" spans="1:19" s="18" customFormat="1" ht="48" customHeight="1" x14ac:dyDescent="0.3">
      <c r="A28" s="470" t="s">
        <v>125</v>
      </c>
      <c r="B28" s="368" t="s">
        <v>126</v>
      </c>
    </row>
    <row r="29" spans="1:19" s="18" customFormat="1" ht="46" x14ac:dyDescent="0.3">
      <c r="A29" s="470" t="s">
        <v>127</v>
      </c>
      <c r="B29" s="368" t="s">
        <v>128</v>
      </c>
    </row>
    <row r="30" spans="1:19" s="18" customFormat="1" ht="61.5" customHeight="1" x14ac:dyDescent="0.3">
      <c r="A30" s="470" t="s">
        <v>129</v>
      </c>
      <c r="B30" s="368" t="s">
        <v>130</v>
      </c>
    </row>
    <row r="31" spans="1:19" s="18" customFormat="1" ht="51.75" customHeight="1" x14ac:dyDescent="0.3">
      <c r="A31" s="470" t="s">
        <v>131</v>
      </c>
      <c r="B31" s="368" t="s">
        <v>132</v>
      </c>
    </row>
    <row r="32" spans="1:19" s="18" customFormat="1" ht="50.25" customHeight="1" x14ac:dyDescent="0.3">
      <c r="A32" s="472" t="s">
        <v>133</v>
      </c>
      <c r="B32" s="473" t="s">
        <v>134</v>
      </c>
    </row>
    <row r="34" spans="1:12" ht="36.75" customHeight="1" thickBot="1" x14ac:dyDescent="0.4">
      <c r="A34" s="935" t="s">
        <v>19</v>
      </c>
      <c r="B34" s="935"/>
      <c r="C34" s="935"/>
      <c r="D34" s="935"/>
      <c r="E34" s="935"/>
      <c r="F34" s="935"/>
      <c r="G34" s="935"/>
      <c r="H34" s="935"/>
      <c r="I34" s="935"/>
      <c r="J34" s="935"/>
      <c r="K34" s="935"/>
      <c r="L34" s="935"/>
    </row>
    <row r="35" spans="1:12" s="46" customFormat="1" x14ac:dyDescent="0.3">
      <c r="A35" s="17" t="s">
        <v>135</v>
      </c>
    </row>
    <row r="36" spans="1:12" s="46" customFormat="1" x14ac:dyDescent="0.3">
      <c r="A36" s="45"/>
    </row>
    <row r="37" spans="1:12" s="52" customFormat="1" x14ac:dyDescent="0.3">
      <c r="A37" s="142" t="s">
        <v>877</v>
      </c>
      <c r="B37" s="142" t="s">
        <v>878</v>
      </c>
      <c r="C37" s="142" t="s">
        <v>879</v>
      </c>
      <c r="D37" s="142" t="s">
        <v>880</v>
      </c>
      <c r="E37" s="142" t="s">
        <v>881</v>
      </c>
    </row>
    <row r="38" spans="1:12" s="18" customFormat="1" ht="80.5" x14ac:dyDescent="0.3">
      <c r="A38" s="358" t="s">
        <v>475</v>
      </c>
      <c r="B38" s="474" t="s">
        <v>476</v>
      </c>
      <c r="C38" s="358" t="s">
        <v>477</v>
      </c>
      <c r="D38" s="358" t="s">
        <v>138</v>
      </c>
      <c r="E38" s="475" t="s">
        <v>1275</v>
      </c>
    </row>
    <row r="39" spans="1:12" s="18" customFormat="1" ht="34.5" x14ac:dyDescent="0.3">
      <c r="A39" s="358" t="s">
        <v>478</v>
      </c>
      <c r="B39" s="474" t="s">
        <v>479</v>
      </c>
      <c r="C39" s="358" t="s">
        <v>480</v>
      </c>
      <c r="D39" s="358" t="s">
        <v>481</v>
      </c>
      <c r="E39" s="475" t="s">
        <v>1274</v>
      </c>
    </row>
    <row r="40" spans="1:12" s="18" customFormat="1" ht="71.25" customHeight="1" x14ac:dyDescent="0.3">
      <c r="A40" s="358" t="s">
        <v>1165</v>
      </c>
      <c r="B40" s="474" t="s">
        <v>482</v>
      </c>
      <c r="C40" s="358" t="s">
        <v>1099</v>
      </c>
      <c r="D40" s="358" t="s">
        <v>138</v>
      </c>
      <c r="E40" s="475" t="s">
        <v>1273</v>
      </c>
    </row>
    <row r="41" spans="1:12" s="18" customFormat="1" ht="60.75" customHeight="1" x14ac:dyDescent="0.3">
      <c r="A41" s="358" t="s">
        <v>1164</v>
      </c>
      <c r="B41" s="474" t="s">
        <v>483</v>
      </c>
      <c r="C41" s="358" t="s">
        <v>139</v>
      </c>
      <c r="D41" s="358" t="s">
        <v>138</v>
      </c>
      <c r="E41" s="475" t="s">
        <v>1272</v>
      </c>
    </row>
    <row r="42" spans="1:12" s="18" customFormat="1" ht="103.5" x14ac:dyDescent="0.3">
      <c r="A42" s="358" t="s">
        <v>1161</v>
      </c>
      <c r="B42" s="474" t="s">
        <v>1100</v>
      </c>
      <c r="C42" s="358" t="s">
        <v>1101</v>
      </c>
      <c r="D42" s="358" t="s">
        <v>138</v>
      </c>
      <c r="E42" s="475" t="s">
        <v>1271</v>
      </c>
    </row>
    <row r="43" spans="1:12" s="18" customFormat="1" ht="61.5" customHeight="1" x14ac:dyDescent="0.3">
      <c r="A43" s="358" t="s">
        <v>140</v>
      </c>
      <c r="B43" s="474" t="s">
        <v>484</v>
      </c>
      <c r="C43" s="358" t="s">
        <v>485</v>
      </c>
      <c r="D43" s="358" t="s">
        <v>138</v>
      </c>
      <c r="E43" s="475" t="s">
        <v>1276</v>
      </c>
    </row>
    <row r="44" spans="1:12" s="18" customFormat="1" ht="60" customHeight="1" x14ac:dyDescent="0.3">
      <c r="A44" s="358" t="s">
        <v>141</v>
      </c>
      <c r="B44" s="474" t="s">
        <v>1102</v>
      </c>
      <c r="C44" s="358" t="s">
        <v>486</v>
      </c>
      <c r="D44" s="358" t="s">
        <v>138</v>
      </c>
      <c r="E44" s="475" t="s">
        <v>1277</v>
      </c>
    </row>
    <row r="45" spans="1:12" s="18" customFormat="1" ht="50.25" customHeight="1" x14ac:dyDescent="0.3">
      <c r="A45" s="358" t="s">
        <v>1162</v>
      </c>
      <c r="B45" s="474" t="s">
        <v>1103</v>
      </c>
      <c r="C45" s="358" t="s">
        <v>1104</v>
      </c>
      <c r="D45" s="358" t="s">
        <v>136</v>
      </c>
      <c r="E45" s="475" t="s">
        <v>1278</v>
      </c>
    </row>
    <row r="46" spans="1:12" s="18" customFormat="1" ht="73.5" customHeight="1" x14ac:dyDescent="0.3">
      <c r="A46" s="358" t="s">
        <v>1163</v>
      </c>
      <c r="B46" s="474" t="s">
        <v>1105</v>
      </c>
      <c r="C46" s="358" t="s">
        <v>487</v>
      </c>
      <c r="D46" s="358" t="s">
        <v>136</v>
      </c>
      <c r="E46" s="475" t="s">
        <v>1279</v>
      </c>
    </row>
    <row r="47" spans="1:12" s="18" customFormat="1" ht="71.25" customHeight="1" x14ac:dyDescent="0.3">
      <c r="A47" s="363" t="s">
        <v>142</v>
      </c>
      <c r="B47" s="360" t="s">
        <v>488</v>
      </c>
      <c r="C47" s="363" t="s">
        <v>143</v>
      </c>
      <c r="D47" s="363" t="s">
        <v>138</v>
      </c>
      <c r="E47" s="363" t="s">
        <v>489</v>
      </c>
    </row>
    <row r="48" spans="1:12" s="52" customFormat="1" x14ac:dyDescent="0.3">
      <c r="A48" s="49"/>
      <c r="B48" s="54"/>
      <c r="C48" s="49"/>
      <c r="D48" s="49"/>
      <c r="E48" s="49"/>
    </row>
    <row r="49" spans="1:12" s="55" customFormat="1" ht="36.75" customHeight="1" thickBot="1" x14ac:dyDescent="0.45">
      <c r="A49" s="935" t="s">
        <v>21</v>
      </c>
      <c r="B49" s="935"/>
      <c r="C49" s="935"/>
      <c r="D49" s="935"/>
      <c r="E49" s="935"/>
      <c r="F49" s="935"/>
      <c r="G49" s="935"/>
      <c r="H49" s="935"/>
      <c r="I49" s="935"/>
      <c r="J49" s="935"/>
      <c r="K49" s="935"/>
      <c r="L49" s="935"/>
    </row>
    <row r="50" spans="1:12" s="46" customFormat="1" x14ac:dyDescent="0.3">
      <c r="A50" s="17" t="s">
        <v>144</v>
      </c>
    </row>
    <row r="52" spans="1:12" x14ac:dyDescent="0.3">
      <c r="A52" s="150" t="s">
        <v>882</v>
      </c>
      <c r="B52" s="150" t="s">
        <v>883</v>
      </c>
    </row>
    <row r="53" spans="1:12" ht="81" x14ac:dyDescent="0.3">
      <c r="A53" s="358" t="s">
        <v>490</v>
      </c>
      <c r="B53" s="476" t="s">
        <v>491</v>
      </c>
    </row>
    <row r="54" spans="1:12" ht="131.25" customHeight="1" x14ac:dyDescent="0.3">
      <c r="A54" s="358" t="s">
        <v>492</v>
      </c>
      <c r="B54" s="358" t="s">
        <v>1254</v>
      </c>
    </row>
    <row r="55" spans="1:12" ht="60.75" customHeight="1" x14ac:dyDescent="0.3">
      <c r="A55" s="363" t="s">
        <v>493</v>
      </c>
      <c r="B55" s="363" t="s">
        <v>1074</v>
      </c>
    </row>
    <row r="56" spans="1:12" ht="69" customHeight="1" x14ac:dyDescent="0.3">
      <c r="A56" s="936" t="s">
        <v>1280</v>
      </c>
      <c r="B56" s="940"/>
    </row>
  </sheetData>
  <mergeCells count="17">
    <mergeCell ref="I49:L49"/>
    <mergeCell ref="A8:D8"/>
    <mergeCell ref="A56:B56"/>
    <mergeCell ref="A1:D1"/>
    <mergeCell ref="E1:H1"/>
    <mergeCell ref="I1:L1"/>
    <mergeCell ref="A10:D10"/>
    <mergeCell ref="E10:H10"/>
    <mergeCell ref="I10:L10"/>
    <mergeCell ref="A17:D17"/>
    <mergeCell ref="E17:H17"/>
    <mergeCell ref="I17:L17"/>
    <mergeCell ref="A34:D34"/>
    <mergeCell ref="E34:H34"/>
    <mergeCell ref="I34:L34"/>
    <mergeCell ref="A49:D49"/>
    <mergeCell ref="E49:H49"/>
  </mergeCells>
  <phoneticPr fontId="8" type="noConversion"/>
  <hyperlinks>
    <hyperlink ref="A26" r:id="rId1" display="https://www.ohchr.org/documents/publications/guidingprinciplesbusinesshr_en.pdf" xr:uid="{8D9C8302-78E2-4989-A3F1-53518F76A15A}"/>
    <hyperlink ref="A27" r:id="rId2" display="https://www.voluntaryprinciples.org/" xr:uid="{B8E67245-5D2D-4B9F-82DF-11481637E868}"/>
    <hyperlink ref="A31" r:id="rId3" display="https://www.ifrs.org/" xr:uid="{17F59836-06A4-4BA8-B113-5DFE3342D60A}"/>
    <hyperlink ref="A32" r:id="rId4" display="https://sdgs.un.org/goals" xr:uid="{F130E1DB-69B5-4FB2-94B9-17E5D387FFBE}"/>
    <hyperlink ref="A28" r:id="rId5" xr:uid="{B7AA47E8-AB68-47D0-B2B1-F08ECF57D99A}"/>
    <hyperlink ref="A29" r:id="rId6" xr:uid="{2491E927-FBFB-4DA9-B75E-B37EFC07A53E}"/>
    <hyperlink ref="A21" r:id="rId7" display="https://www.gold.org/" xr:uid="{B6B01125-1ED6-42FF-BD34-009142C22C25}"/>
    <hyperlink ref="A22" r:id="rId8" display="http://caminic.com/" xr:uid="{2D005715-920F-4E2C-967F-CB00FBE867E3}"/>
    <hyperlink ref="A23" r:id="rId9" xr:uid="{206A6D8E-3B83-4705-91A7-75640631F6D0}"/>
    <hyperlink ref="A30" r:id="rId10" display="https://cyanidecode.org/" xr:uid="{E401706D-D6FF-496C-B28E-57A1F0367E2A}"/>
    <hyperlink ref="E42" r:id="rId11" xr:uid="{A992CCA4-73BC-4E62-9ACD-71D5162CFD22}"/>
    <hyperlink ref="E41" r:id="rId12" xr:uid="{9941EEE1-B732-46D1-9A22-C415C606E818}"/>
    <hyperlink ref="E40" r:id="rId13" xr:uid="{F847D147-34BD-46B6-9FC2-A1DB4973F4D4}"/>
    <hyperlink ref="E39" r:id="rId14" xr:uid="{2A986571-0590-4A15-8BB3-F3F9EA590570}"/>
    <hyperlink ref="E38" r:id="rId15" xr:uid="{DD1A5E41-BDD1-4882-837C-A4075E7DEAB0}"/>
    <hyperlink ref="E43" r:id="rId16" xr:uid="{E69924E0-94F4-4B77-B063-B425B59E0892}"/>
    <hyperlink ref="E44" r:id="rId17" xr:uid="{346B2AB9-4EC3-467F-9FD6-5A13374D21C0}"/>
    <hyperlink ref="E45" r:id="rId18" xr:uid="{DEAA2113-7909-47A8-A43B-2F0F11826DF7}"/>
    <hyperlink ref="E46" r:id="rId19" xr:uid="{7F6F0330-C2E2-4423-AA3A-03AA4069D345}"/>
  </hyperlinks>
  <pageMargins left="0.7" right="0.7" top="0.75" bottom="0.75" header="0.3" footer="0.3"/>
  <pageSetup orientation="portrait" r:id="rId20"/>
  <drawing r:id="rId21"/>
  <tableParts count="6">
    <tablePart r:id="rId22"/>
    <tablePart r:id="rId23"/>
    <tablePart r:id="rId24"/>
    <tablePart r:id="rId25"/>
    <tablePart r:id="rId26"/>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D0DB-4E1B-49D1-8137-4308981439AA}">
  <dimension ref="A1:L31"/>
  <sheetViews>
    <sheetView showGridLines="0" zoomScale="90" zoomScaleNormal="90" workbookViewId="0">
      <selection activeCell="A16" sqref="A16:XFD21"/>
    </sheetView>
  </sheetViews>
  <sheetFormatPr defaultColWidth="11.453125" defaultRowHeight="14" x14ac:dyDescent="0.3"/>
  <cols>
    <col min="1" max="1" width="49.7265625" style="37" customWidth="1"/>
    <col min="2" max="2" width="25.1796875" style="37" customWidth="1"/>
    <col min="3" max="3" width="28.453125" style="37" customWidth="1"/>
    <col min="4" max="4" width="20" style="37" customWidth="1"/>
    <col min="5" max="5" width="45.453125" style="37" customWidth="1"/>
    <col min="6" max="6" width="68" style="37" customWidth="1"/>
    <col min="7" max="7" width="26.7265625" style="37" customWidth="1"/>
    <col min="8" max="16384" width="11.453125" style="37"/>
  </cols>
  <sheetData>
    <row r="1" spans="1:12" ht="36.75" customHeight="1" thickBot="1" x14ac:dyDescent="0.4">
      <c r="A1" s="935" t="s">
        <v>97</v>
      </c>
      <c r="B1" s="935"/>
      <c r="C1" s="935"/>
      <c r="D1" s="935"/>
      <c r="E1" s="935"/>
      <c r="F1" s="935"/>
      <c r="G1" s="935"/>
      <c r="H1" s="935"/>
      <c r="I1" s="935"/>
      <c r="J1" s="935"/>
      <c r="K1" s="935"/>
      <c r="L1" s="935"/>
    </row>
    <row r="2" spans="1:12" s="46" customFormat="1" x14ac:dyDescent="0.3">
      <c r="A2" s="17" t="s">
        <v>145</v>
      </c>
    </row>
    <row r="4" spans="1:12" s="49" customFormat="1" ht="11.5" x14ac:dyDescent="0.35">
      <c r="A4" s="221" t="s">
        <v>146</v>
      </c>
      <c r="B4" s="221" t="s">
        <v>884</v>
      </c>
      <c r="C4" s="221" t="s">
        <v>112</v>
      </c>
      <c r="D4" s="221" t="s">
        <v>973</v>
      </c>
      <c r="E4" s="221" t="s">
        <v>885</v>
      </c>
      <c r="F4" s="221" t="s">
        <v>886</v>
      </c>
    </row>
    <row r="5" spans="1:12" s="23" customFormat="1" ht="69" x14ac:dyDescent="0.35">
      <c r="A5" s="478" t="s">
        <v>461</v>
      </c>
      <c r="B5" s="478" t="s">
        <v>148</v>
      </c>
      <c r="C5" s="368" t="s">
        <v>149</v>
      </c>
      <c r="D5" s="479">
        <v>378</v>
      </c>
      <c r="E5" s="474" t="s">
        <v>1264</v>
      </c>
      <c r="F5" s="368" t="s">
        <v>150</v>
      </c>
    </row>
    <row r="6" spans="1:12" s="23" customFormat="1" ht="156" customHeight="1" x14ac:dyDescent="0.35">
      <c r="A6" s="478" t="s">
        <v>464</v>
      </c>
      <c r="B6" s="478" t="s">
        <v>148</v>
      </c>
      <c r="C6" s="368" t="s">
        <v>786</v>
      </c>
      <c r="D6" s="479">
        <f>3259+789</f>
        <v>4048</v>
      </c>
      <c r="E6" s="474" t="s">
        <v>1265</v>
      </c>
      <c r="F6" s="474" t="s">
        <v>787</v>
      </c>
    </row>
    <row r="7" spans="1:12" s="23" customFormat="1" ht="11.5" x14ac:dyDescent="0.35">
      <c r="A7" s="480" t="s">
        <v>472</v>
      </c>
      <c r="B7" s="480" t="s">
        <v>166</v>
      </c>
      <c r="C7" s="473" t="s">
        <v>11</v>
      </c>
      <c r="D7" s="473" t="s">
        <v>11</v>
      </c>
      <c r="E7" s="473" t="s">
        <v>11</v>
      </c>
      <c r="F7" s="473" t="s">
        <v>11</v>
      </c>
    </row>
    <row r="8" spans="1:12" s="23" customFormat="1" ht="11.5" x14ac:dyDescent="0.35">
      <c r="A8" s="85"/>
      <c r="B8" s="85"/>
      <c r="C8" s="481"/>
      <c r="D8" s="481"/>
      <c r="E8" s="481"/>
      <c r="F8" s="481"/>
    </row>
    <row r="9" spans="1:12" s="23" customFormat="1" ht="11.5" x14ac:dyDescent="0.35">
      <c r="A9" s="85" t="s">
        <v>1106</v>
      </c>
      <c r="B9" s="482">
        <v>0.66666666666666663</v>
      </c>
      <c r="C9" s="481"/>
      <c r="D9" s="483"/>
      <c r="F9" s="481"/>
    </row>
    <row r="10" spans="1:12" s="23" customFormat="1" ht="11.5" x14ac:dyDescent="0.35">
      <c r="A10" s="85" t="s">
        <v>1107</v>
      </c>
      <c r="B10" s="484">
        <f>2/3</f>
        <v>0.66666666666666663</v>
      </c>
      <c r="C10" s="481"/>
      <c r="D10" s="483"/>
      <c r="F10" s="481"/>
    </row>
    <row r="12" spans="1:12" ht="39.75" customHeight="1" thickBot="1" x14ac:dyDescent="0.4">
      <c r="A12" s="935" t="s">
        <v>98</v>
      </c>
      <c r="B12" s="935"/>
      <c r="C12" s="935"/>
      <c r="D12" s="935"/>
      <c r="E12" s="935"/>
      <c r="F12" s="935"/>
      <c r="G12" s="935"/>
      <c r="H12" s="935"/>
      <c r="I12" s="935"/>
      <c r="J12" s="935"/>
      <c r="K12" s="935"/>
      <c r="L12" s="935"/>
    </row>
    <row r="13" spans="1:12" s="46" customFormat="1" x14ac:dyDescent="0.3">
      <c r="A13" s="17" t="s">
        <v>151</v>
      </c>
    </row>
    <row r="15" spans="1:12" s="59" customFormat="1" ht="36" customHeight="1" x14ac:dyDescent="0.25">
      <c r="A15" s="144" t="s">
        <v>887</v>
      </c>
      <c r="B15" s="463" t="s">
        <v>548</v>
      </c>
      <c r="C15" s="463" t="s">
        <v>331</v>
      </c>
      <c r="D15" s="271" t="s">
        <v>330</v>
      </c>
      <c r="E15" s="222" t="s">
        <v>1132</v>
      </c>
      <c r="F15" s="58"/>
    </row>
    <row r="16" spans="1:12" s="23" customFormat="1" ht="11.5" x14ac:dyDescent="0.25">
      <c r="A16" s="358" t="s">
        <v>1130</v>
      </c>
      <c r="B16" s="485">
        <v>12421</v>
      </c>
      <c r="C16" s="485">
        <v>18583.439999999999</v>
      </c>
      <c r="D16" s="486">
        <v>32758.04</v>
      </c>
      <c r="E16" s="487">
        <f>SUM(Table110[[#This Row],[2022]:[2020]])</f>
        <v>63762.479999999996</v>
      </c>
      <c r="F16" s="22"/>
    </row>
    <row r="17" spans="1:7" s="23" customFormat="1" ht="11.5" x14ac:dyDescent="0.25">
      <c r="A17" s="358" t="s">
        <v>1129</v>
      </c>
      <c r="B17" s="485">
        <v>1.2391424419004999</v>
      </c>
      <c r="C17" s="485">
        <v>1.8463255117779103</v>
      </c>
      <c r="D17" s="486">
        <v>3.2680039994746202</v>
      </c>
      <c r="E17" s="487">
        <f>SUM(Table110[[#This Row],[2022]:[2020]])</f>
        <v>6.353471953153031</v>
      </c>
      <c r="F17" s="22"/>
    </row>
    <row r="18" spans="1:7" s="23" customFormat="1" ht="11.5" x14ac:dyDescent="0.25">
      <c r="A18" s="363" t="s">
        <v>1131</v>
      </c>
      <c r="B18" s="488">
        <v>53658.720000000001</v>
      </c>
      <c r="C18" s="488">
        <v>80280.450400000016</v>
      </c>
      <c r="D18" s="489">
        <v>141514.73280000003</v>
      </c>
      <c r="E18" s="490">
        <f>SUM(Table110[[#This Row],[2022]:[2020]])</f>
        <v>275453.90320000006</v>
      </c>
      <c r="F18" s="22"/>
    </row>
    <row r="19" spans="1:7" s="18" customFormat="1" ht="40.5" customHeight="1" x14ac:dyDescent="0.3">
      <c r="A19" s="941" t="s">
        <v>1281</v>
      </c>
      <c r="B19" s="941"/>
      <c r="C19" s="941"/>
      <c r="D19" s="941"/>
      <c r="E19" s="941"/>
      <c r="F19" s="492"/>
      <c r="G19" s="492"/>
    </row>
    <row r="20" spans="1:7" s="18" customFormat="1" x14ac:dyDescent="0.3">
      <c r="A20" s="491"/>
      <c r="B20" s="491"/>
      <c r="C20" s="491"/>
      <c r="D20" s="491"/>
      <c r="E20" s="491"/>
      <c r="F20" s="492"/>
      <c r="G20" s="492"/>
    </row>
    <row r="21" spans="1:7" s="23" customFormat="1" ht="11.5" x14ac:dyDescent="0.35">
      <c r="A21" s="85" t="s">
        <v>1109</v>
      </c>
      <c r="B21" s="942" t="s">
        <v>1108</v>
      </c>
      <c r="C21" s="942"/>
      <c r="D21" s="942"/>
      <c r="E21" s="942"/>
      <c r="F21" s="481"/>
    </row>
    <row r="27" spans="1:7" x14ac:dyDescent="0.3">
      <c r="F27" s="61"/>
    </row>
    <row r="31" spans="1:7" x14ac:dyDescent="0.3">
      <c r="D31" s="61"/>
    </row>
  </sheetData>
  <mergeCells count="8">
    <mergeCell ref="A19:E19"/>
    <mergeCell ref="B21:E21"/>
    <mergeCell ref="A1:D1"/>
    <mergeCell ref="E1:H1"/>
    <mergeCell ref="I1:L1"/>
    <mergeCell ref="A12:D12"/>
    <mergeCell ref="E12:H12"/>
    <mergeCell ref="I12:L12"/>
  </mergeCells>
  <phoneticPr fontId="8" type="noConversion"/>
  <pageMargins left="0.7" right="0.7" top="0.75" bottom="0.75" header="0.3" footer="0.3"/>
  <pageSetup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91C1-15FD-499F-965A-AE8A1E365BAE}">
  <dimension ref="A1:L73"/>
  <sheetViews>
    <sheetView showGridLines="0" zoomScale="90" zoomScaleNormal="90" workbookViewId="0">
      <selection activeCell="A68" sqref="A68:XFD73"/>
    </sheetView>
  </sheetViews>
  <sheetFormatPr defaultColWidth="11.453125" defaultRowHeight="14" x14ac:dyDescent="0.3"/>
  <cols>
    <col min="1" max="1" width="34.7265625" style="37" customWidth="1"/>
    <col min="2" max="2" width="53" style="37" customWidth="1"/>
    <col min="3" max="3" width="50.81640625" style="37" customWidth="1"/>
    <col min="4" max="4" width="53" style="37" customWidth="1"/>
    <col min="5" max="5" width="39.81640625" style="37" customWidth="1"/>
    <col min="6" max="6" width="60" style="37" bestFit="1" customWidth="1"/>
    <col min="7" max="7" width="24.453125" style="37" customWidth="1"/>
    <col min="8" max="8" width="25.453125" style="37" customWidth="1"/>
    <col min="9" max="9" width="39.81640625" style="37" customWidth="1"/>
    <col min="10" max="16384" width="11.453125" style="37"/>
  </cols>
  <sheetData>
    <row r="1" spans="1:12" s="62" customFormat="1" ht="30" customHeight="1" thickBot="1" x14ac:dyDescent="0.4">
      <c r="A1" s="935" t="s">
        <v>52</v>
      </c>
      <c r="B1" s="935"/>
      <c r="C1" s="935"/>
      <c r="D1" s="935"/>
      <c r="E1" s="935"/>
      <c r="F1" s="935"/>
      <c r="G1" s="935"/>
      <c r="H1" s="935"/>
      <c r="I1" s="935"/>
      <c r="J1" s="935"/>
      <c r="K1" s="935"/>
      <c r="L1" s="935"/>
    </row>
    <row r="2" spans="1:12" x14ac:dyDescent="0.3">
      <c r="A2" s="17" t="s">
        <v>154</v>
      </c>
    </row>
    <row r="3" spans="1:12" x14ac:dyDescent="0.3">
      <c r="D3" s="63"/>
      <c r="E3" s="63"/>
      <c r="F3" s="63"/>
      <c r="G3" s="63"/>
    </row>
    <row r="4" spans="1:12" s="56" customFormat="1" ht="11.5" x14ac:dyDescent="0.25">
      <c r="A4" s="334" t="s">
        <v>146</v>
      </c>
      <c r="B4" s="334" t="s">
        <v>888</v>
      </c>
      <c r="C4" s="334" t="s">
        <v>889</v>
      </c>
      <c r="D4" s="200" t="s">
        <v>890</v>
      </c>
      <c r="E4" s="200" t="s">
        <v>1207</v>
      </c>
      <c r="F4" s="200" t="s">
        <v>155</v>
      </c>
      <c r="G4" s="200" t="s">
        <v>156</v>
      </c>
      <c r="H4" s="65"/>
      <c r="I4" s="65"/>
      <c r="J4" s="65"/>
      <c r="K4" s="65"/>
      <c r="L4" s="65"/>
    </row>
    <row r="5" spans="1:12" s="35" customFormat="1" ht="11.5" x14ac:dyDescent="0.25">
      <c r="A5" s="362" t="s">
        <v>461</v>
      </c>
      <c r="B5" s="354" t="s">
        <v>157</v>
      </c>
      <c r="C5" s="354" t="s">
        <v>158</v>
      </c>
      <c r="D5" s="354" t="s">
        <v>159</v>
      </c>
      <c r="E5" s="493">
        <v>3.59</v>
      </c>
      <c r="F5" s="354" t="s">
        <v>160</v>
      </c>
      <c r="G5" s="362" t="s">
        <v>148</v>
      </c>
      <c r="H5" s="22"/>
      <c r="I5" s="22"/>
      <c r="J5" s="22"/>
      <c r="K5" s="22"/>
      <c r="L5" s="22"/>
    </row>
    <row r="6" spans="1:12" s="35" customFormat="1" ht="23" x14ac:dyDescent="0.25">
      <c r="A6" s="362" t="s">
        <v>464</v>
      </c>
      <c r="B6" s="354" t="s">
        <v>161</v>
      </c>
      <c r="C6" s="354" t="s">
        <v>158</v>
      </c>
      <c r="D6" s="354" t="s">
        <v>162</v>
      </c>
      <c r="E6" s="493">
        <v>2.87</v>
      </c>
      <c r="F6" s="354" t="s">
        <v>160</v>
      </c>
      <c r="G6" s="362" t="s">
        <v>148</v>
      </c>
      <c r="H6" s="22"/>
      <c r="I6" s="22"/>
      <c r="J6" s="22"/>
      <c r="K6" s="22"/>
      <c r="L6" s="22"/>
    </row>
    <row r="7" spans="1:12" s="35" customFormat="1" ht="11.5" x14ac:dyDescent="0.25">
      <c r="A7" s="348" t="s">
        <v>472</v>
      </c>
      <c r="B7" s="347" t="s">
        <v>11</v>
      </c>
      <c r="C7" s="347" t="s">
        <v>11</v>
      </c>
      <c r="D7" s="347" t="s">
        <v>11</v>
      </c>
      <c r="E7" s="347" t="s">
        <v>11</v>
      </c>
      <c r="F7" s="347" t="s">
        <v>11</v>
      </c>
      <c r="G7" s="347" t="s">
        <v>11</v>
      </c>
      <c r="H7" s="22"/>
      <c r="I7" s="22"/>
      <c r="J7" s="22"/>
      <c r="K7" s="22"/>
      <c r="L7" s="22"/>
    </row>
    <row r="8" spans="1:12" s="35" customFormat="1" ht="29.25" customHeight="1" x14ac:dyDescent="0.25">
      <c r="A8" s="939" t="s">
        <v>1282</v>
      </c>
      <c r="B8" s="943"/>
      <c r="C8" s="943"/>
      <c r="D8" s="943"/>
      <c r="E8" s="943"/>
      <c r="F8" s="943"/>
      <c r="G8" s="943"/>
      <c r="H8" s="22"/>
      <c r="I8" s="22"/>
      <c r="J8" s="22"/>
      <c r="K8" s="22"/>
      <c r="L8" s="22"/>
    </row>
    <row r="10" spans="1:12" s="62" customFormat="1" ht="30" customHeight="1" thickBot="1" x14ac:dyDescent="0.4">
      <c r="A10" s="935" t="s">
        <v>866</v>
      </c>
      <c r="B10" s="935"/>
      <c r="C10" s="935"/>
      <c r="D10" s="935"/>
      <c r="E10" s="935"/>
      <c r="F10" s="935"/>
      <c r="G10" s="935"/>
      <c r="H10" s="935"/>
      <c r="I10" s="935"/>
      <c r="J10" s="935"/>
      <c r="K10" s="935"/>
      <c r="L10" s="935"/>
    </row>
    <row r="11" spans="1:12" x14ac:dyDescent="0.3">
      <c r="A11" s="17" t="s">
        <v>164</v>
      </c>
    </row>
    <row r="13" spans="1:12" s="56" customFormat="1" ht="24" customHeight="1" x14ac:dyDescent="0.25">
      <c r="A13" s="334" t="s">
        <v>146</v>
      </c>
      <c r="B13" s="334" t="s">
        <v>891</v>
      </c>
      <c r="C13" s="334" t="s">
        <v>892</v>
      </c>
      <c r="D13" s="334" t="s">
        <v>893</v>
      </c>
      <c r="E13" s="334" t="s">
        <v>894</v>
      </c>
      <c r="F13" s="334" t="s">
        <v>895</v>
      </c>
      <c r="G13" s="334" t="s">
        <v>896</v>
      </c>
      <c r="H13" s="334" t="s">
        <v>897</v>
      </c>
      <c r="I13" s="65"/>
      <c r="J13" s="65"/>
      <c r="K13" s="65"/>
      <c r="L13" s="65"/>
    </row>
    <row r="14" spans="1:12" s="35" customFormat="1" ht="11.5" x14ac:dyDescent="0.25">
      <c r="A14" s="494" t="s">
        <v>114</v>
      </c>
      <c r="B14" s="495">
        <v>0.45</v>
      </c>
      <c r="C14" s="494" t="s">
        <v>165</v>
      </c>
      <c r="D14" s="496">
        <v>0.3</v>
      </c>
      <c r="E14" s="497" t="s">
        <v>165</v>
      </c>
      <c r="F14" s="497" t="s">
        <v>148</v>
      </c>
      <c r="G14" s="497" t="s">
        <v>166</v>
      </c>
      <c r="H14" s="497" t="s">
        <v>167</v>
      </c>
      <c r="I14" s="30"/>
      <c r="J14" s="30"/>
      <c r="K14" s="30"/>
      <c r="L14" s="30"/>
    </row>
    <row r="15" spans="1:12" s="35" customFormat="1" ht="11.5" x14ac:dyDescent="0.25">
      <c r="A15" s="494" t="s">
        <v>114</v>
      </c>
      <c r="B15" s="495">
        <v>0.37</v>
      </c>
      <c r="C15" s="494" t="s">
        <v>168</v>
      </c>
      <c r="D15" s="496">
        <v>0</v>
      </c>
      <c r="E15" s="497" t="s">
        <v>11</v>
      </c>
      <c r="F15" s="497" t="s">
        <v>11</v>
      </c>
      <c r="G15" s="497" t="s">
        <v>148</v>
      </c>
      <c r="H15" s="497" t="s">
        <v>167</v>
      </c>
      <c r="I15" s="30"/>
      <c r="J15" s="30"/>
      <c r="K15" s="30"/>
      <c r="L15" s="30"/>
    </row>
    <row r="16" spans="1:12" s="35" customFormat="1" ht="12" thickBot="1" x14ac:dyDescent="0.3">
      <c r="A16" s="498" t="s">
        <v>472</v>
      </c>
      <c r="B16" s="499">
        <v>0</v>
      </c>
      <c r="C16" s="498" t="s">
        <v>11</v>
      </c>
      <c r="D16" s="500">
        <v>0</v>
      </c>
      <c r="E16" s="501" t="s">
        <v>11</v>
      </c>
      <c r="F16" s="501" t="s">
        <v>11</v>
      </c>
      <c r="G16" s="501" t="s">
        <v>11</v>
      </c>
      <c r="H16" s="501" t="s">
        <v>11</v>
      </c>
      <c r="I16" s="30"/>
      <c r="J16" s="30"/>
      <c r="K16" s="30"/>
      <c r="L16" s="30"/>
    </row>
    <row r="17" spans="1:12" s="35" customFormat="1" ht="12" thickTop="1" x14ac:dyDescent="0.25">
      <c r="A17" s="502" t="s">
        <v>153</v>
      </c>
      <c r="B17" s="503">
        <f>SUBTOTAL(109,Tabla2159[Size of habitat protected (Km2)(1) ])</f>
        <v>0.82000000000000006</v>
      </c>
      <c r="C17" s="502"/>
      <c r="D17" s="504">
        <f>SUBTOTAL(109,Tabla2159[Size of habitat restored (Km2)])</f>
        <v>0.3</v>
      </c>
      <c r="E17" s="406"/>
      <c r="F17" s="406"/>
      <c r="G17" s="406"/>
      <c r="H17" s="406">
        <f>SUBTOTAL(103,Tabla2159[Status of area])</f>
        <v>3</v>
      </c>
      <c r="I17" s="30"/>
      <c r="J17" s="30"/>
      <c r="K17" s="30"/>
      <c r="L17" s="30"/>
    </row>
    <row r="18" spans="1:12" s="35" customFormat="1" ht="33" customHeight="1" x14ac:dyDescent="0.25">
      <c r="A18" s="936" t="s">
        <v>1283</v>
      </c>
      <c r="B18" s="936"/>
      <c r="C18" s="936"/>
      <c r="D18" s="936"/>
      <c r="E18" s="936"/>
      <c r="F18" s="936"/>
      <c r="G18" s="936"/>
      <c r="H18" s="936"/>
      <c r="I18" s="22"/>
      <c r="J18" s="22"/>
      <c r="K18" s="22"/>
      <c r="L18" s="22"/>
    </row>
    <row r="19" spans="1:12" s="71" customFormat="1" ht="11.5" x14ac:dyDescent="0.25">
      <c r="A19" s="42"/>
      <c r="B19" s="42"/>
      <c r="C19" s="42"/>
      <c r="D19" s="42"/>
      <c r="E19" s="42"/>
      <c r="F19" s="42"/>
      <c r="G19" s="42"/>
      <c r="H19" s="42"/>
      <c r="I19" s="72"/>
      <c r="J19" s="72"/>
      <c r="K19" s="72"/>
      <c r="L19" s="72"/>
    </row>
    <row r="20" spans="1:12" s="62" customFormat="1" ht="30" customHeight="1" thickBot="1" x14ac:dyDescent="0.4">
      <c r="A20" s="935" t="s">
        <v>867</v>
      </c>
      <c r="B20" s="935"/>
      <c r="C20" s="935"/>
      <c r="D20" s="935"/>
      <c r="E20" s="935"/>
      <c r="F20" s="935"/>
      <c r="G20" s="935"/>
      <c r="H20" s="935"/>
      <c r="I20" s="935"/>
      <c r="J20" s="935"/>
      <c r="K20" s="935"/>
      <c r="L20" s="935"/>
    </row>
    <row r="21" spans="1:12" s="516" customFormat="1" x14ac:dyDescent="0.3">
      <c r="A21" s="17" t="s">
        <v>596</v>
      </c>
    </row>
    <row r="22" spans="1:12" s="18" customFormat="1" x14ac:dyDescent="0.3"/>
    <row r="23" spans="1:12" s="35" customFormat="1" ht="11.5" x14ac:dyDescent="0.25">
      <c r="A23" s="505" t="s">
        <v>597</v>
      </c>
      <c r="B23" s="505" t="s">
        <v>471</v>
      </c>
      <c r="C23" s="506" t="s">
        <v>461</v>
      </c>
      <c r="D23" s="507" t="s">
        <v>464</v>
      </c>
      <c r="E23" s="508" t="s">
        <v>472</v>
      </c>
      <c r="F23" s="22"/>
      <c r="G23" s="22"/>
    </row>
    <row r="24" spans="1:12" s="35" customFormat="1" ht="11.5" x14ac:dyDescent="0.25">
      <c r="A24" s="358" t="s">
        <v>598</v>
      </c>
      <c r="B24" s="509">
        <f>SUM(Table43[[#This Row],[El Limon Complex]:[Pan Mine]])</f>
        <v>0</v>
      </c>
      <c r="C24" s="510">
        <v>0</v>
      </c>
      <c r="D24" s="511">
        <v>0</v>
      </c>
      <c r="E24" s="476">
        <v>0</v>
      </c>
      <c r="F24" s="22"/>
      <c r="G24" s="22"/>
    </row>
    <row r="25" spans="1:12" s="35" customFormat="1" ht="11.5" x14ac:dyDescent="0.25">
      <c r="A25" s="358" t="s">
        <v>599</v>
      </c>
      <c r="B25" s="509">
        <f>SUM(Table43[[#This Row],[El Limon Complex]:[Pan Mine]])</f>
        <v>0</v>
      </c>
      <c r="C25" s="510">
        <v>0</v>
      </c>
      <c r="D25" s="511">
        <v>0</v>
      </c>
      <c r="E25" s="476">
        <v>0</v>
      </c>
      <c r="F25" s="22"/>
      <c r="G25" s="22"/>
    </row>
    <row r="26" spans="1:12" s="35" customFormat="1" ht="11.5" x14ac:dyDescent="0.25">
      <c r="A26" s="358" t="s">
        <v>600</v>
      </c>
      <c r="B26" s="509">
        <f>SUM(Table43[[#This Row],[El Limon Complex]:[Pan Mine]])</f>
        <v>0</v>
      </c>
      <c r="C26" s="510">
        <v>0</v>
      </c>
      <c r="D26" s="511">
        <v>0</v>
      </c>
      <c r="E26" s="476">
        <v>0</v>
      </c>
      <c r="F26" s="22"/>
      <c r="G26" s="22"/>
    </row>
    <row r="27" spans="1:12" s="35" customFormat="1" ht="11.5" x14ac:dyDescent="0.25">
      <c r="A27" s="358" t="s">
        <v>601</v>
      </c>
      <c r="B27" s="509">
        <f>SUM(Table43[[#This Row],[El Limon Complex]:[Pan Mine]])</f>
        <v>1</v>
      </c>
      <c r="C27" s="510">
        <v>0</v>
      </c>
      <c r="D27" s="511">
        <v>0</v>
      </c>
      <c r="E27" s="476">
        <v>1</v>
      </c>
      <c r="F27" s="22"/>
      <c r="G27" s="22"/>
    </row>
    <row r="28" spans="1:12" s="35" customFormat="1" ht="11.5" x14ac:dyDescent="0.25">
      <c r="A28" s="358" t="s">
        <v>602</v>
      </c>
      <c r="B28" s="509">
        <f>SUM(Table43[[#This Row],[El Limon Complex]:[Pan Mine]])</f>
        <v>2</v>
      </c>
      <c r="C28" s="510">
        <v>0</v>
      </c>
      <c r="D28" s="511">
        <v>0</v>
      </c>
      <c r="E28" s="476">
        <v>2</v>
      </c>
      <c r="F28" s="22"/>
      <c r="G28" s="22"/>
    </row>
    <row r="29" spans="1:12" s="35" customFormat="1" ht="11.5" x14ac:dyDescent="0.25">
      <c r="A29" s="363" t="s">
        <v>603</v>
      </c>
      <c r="B29" s="512">
        <f>SUM(Table43[[#This Row],[El Limon Complex]:[Pan Mine]])</f>
        <v>0</v>
      </c>
      <c r="C29" s="513">
        <v>0</v>
      </c>
      <c r="D29" s="514">
        <v>0</v>
      </c>
      <c r="E29" s="515">
        <v>0</v>
      </c>
      <c r="F29" s="22"/>
      <c r="G29" s="22"/>
    </row>
    <row r="30" spans="1:12" s="35" customFormat="1" ht="59.25" customHeight="1" x14ac:dyDescent="0.25">
      <c r="A30" s="936" t="s">
        <v>1284</v>
      </c>
      <c r="B30" s="936"/>
      <c r="C30" s="936"/>
      <c r="D30" s="936"/>
      <c r="E30" s="936"/>
      <c r="F30" s="22"/>
      <c r="G30" s="22"/>
    </row>
    <row r="31" spans="1:12" s="56" customFormat="1" ht="11.5" x14ac:dyDescent="0.25">
      <c r="A31" s="49"/>
      <c r="B31" s="49"/>
      <c r="C31" s="49"/>
      <c r="D31" s="74"/>
      <c r="E31" s="75"/>
      <c r="G31" s="60"/>
      <c r="H31" s="60"/>
    </row>
    <row r="32" spans="1:12" s="62" customFormat="1" ht="20.149999999999999" customHeight="1" thickBot="1" x14ac:dyDescent="0.4">
      <c r="A32" s="935" t="s">
        <v>869</v>
      </c>
      <c r="B32" s="935"/>
      <c r="C32" s="935"/>
      <c r="D32" s="935"/>
      <c r="E32" s="935"/>
      <c r="F32" s="935"/>
      <c r="G32" s="935"/>
      <c r="H32" s="935"/>
      <c r="I32" s="935"/>
      <c r="J32" s="935"/>
      <c r="K32" s="935"/>
      <c r="L32" s="935"/>
    </row>
    <row r="33" spans="1:12" x14ac:dyDescent="0.3">
      <c r="A33" s="17" t="s">
        <v>946</v>
      </c>
    </row>
    <row r="35" spans="1:12" s="60" customFormat="1" ht="34.5" x14ac:dyDescent="0.25">
      <c r="A35" s="142" t="s">
        <v>755</v>
      </c>
      <c r="B35" s="142" t="s">
        <v>756</v>
      </c>
      <c r="C35" s="142" t="s">
        <v>757</v>
      </c>
      <c r="D35" s="142" t="s">
        <v>758</v>
      </c>
      <c r="E35" s="142" t="s">
        <v>759</v>
      </c>
      <c r="F35" s="142" t="s">
        <v>760</v>
      </c>
      <c r="G35" s="142" t="s">
        <v>761</v>
      </c>
      <c r="H35" s="142" t="s">
        <v>762</v>
      </c>
      <c r="I35" s="142" t="s">
        <v>763</v>
      </c>
    </row>
    <row r="36" spans="1:12" s="22" customFormat="1" ht="46" x14ac:dyDescent="0.25">
      <c r="A36" s="363" t="s">
        <v>472</v>
      </c>
      <c r="B36" s="363" t="s">
        <v>764</v>
      </c>
      <c r="C36" s="363" t="s">
        <v>765</v>
      </c>
      <c r="D36" s="363">
        <v>100</v>
      </c>
      <c r="E36" s="363">
        <v>0.55000000000000004</v>
      </c>
      <c r="F36" s="363">
        <v>100</v>
      </c>
      <c r="G36" s="363">
        <v>0.33</v>
      </c>
      <c r="H36" s="363" t="s">
        <v>148</v>
      </c>
      <c r="I36" s="363" t="s">
        <v>766</v>
      </c>
    </row>
    <row r="38" spans="1:12" s="14" customFormat="1" ht="30" customHeight="1" thickBot="1" x14ac:dyDescent="0.45">
      <c r="A38" s="935" t="s">
        <v>868</v>
      </c>
      <c r="B38" s="935"/>
      <c r="C38" s="935"/>
      <c r="D38" s="935"/>
      <c r="E38" s="935"/>
      <c r="F38" s="935"/>
      <c r="G38" s="935"/>
      <c r="H38" s="935"/>
      <c r="I38" s="935"/>
      <c r="J38" s="935"/>
      <c r="K38" s="935"/>
      <c r="L38" s="935"/>
    </row>
    <row r="39" spans="1:12" x14ac:dyDescent="0.3">
      <c r="A39" s="17" t="s">
        <v>169</v>
      </c>
    </row>
    <row r="41" spans="1:12" s="56" customFormat="1" ht="23" x14ac:dyDescent="0.25">
      <c r="A41" s="457" t="s">
        <v>1202</v>
      </c>
      <c r="B41" s="458" t="s">
        <v>604</v>
      </c>
      <c r="C41" s="458" t="s">
        <v>605</v>
      </c>
      <c r="D41" s="458" t="s">
        <v>1203</v>
      </c>
      <c r="E41" s="459" t="s">
        <v>606</v>
      </c>
      <c r="F41" s="68"/>
      <c r="G41" s="68"/>
      <c r="H41" s="68"/>
      <c r="I41" s="68"/>
      <c r="J41" s="68"/>
      <c r="K41" s="68"/>
      <c r="L41" s="68"/>
    </row>
    <row r="42" spans="1:12" s="71" customFormat="1" ht="11.5" x14ac:dyDescent="0.25">
      <c r="A42" s="460">
        <v>2022</v>
      </c>
      <c r="B42" s="461">
        <f>SUM(B43:B45)</f>
        <v>81.281499999999994</v>
      </c>
      <c r="C42" s="461">
        <f t="shared" ref="C42:E42" si="0">SUM(C43:C45)</f>
        <v>8.3699999999999992</v>
      </c>
      <c r="D42" s="461">
        <f t="shared" si="0"/>
        <v>19.270000000000003</v>
      </c>
      <c r="E42" s="462">
        <f t="shared" si="0"/>
        <v>70.381500000000003</v>
      </c>
      <c r="F42" s="72"/>
      <c r="G42" s="72"/>
      <c r="H42" s="72"/>
      <c r="I42" s="72"/>
      <c r="J42" s="72"/>
      <c r="K42" s="72"/>
      <c r="L42" s="72"/>
    </row>
    <row r="43" spans="1:12" s="35" customFormat="1" ht="11.5" x14ac:dyDescent="0.25">
      <c r="A43" s="353" t="s">
        <v>461</v>
      </c>
      <c r="B43" s="517">
        <v>22.7425</v>
      </c>
      <c r="C43" s="517">
        <v>3.53</v>
      </c>
      <c r="D43" s="517">
        <v>0.1</v>
      </c>
      <c r="E43" s="518">
        <v>26.172499999999999</v>
      </c>
      <c r="F43" s="22"/>
      <c r="G43" s="22"/>
      <c r="H43" s="22"/>
      <c r="I43" s="22"/>
      <c r="J43" s="22"/>
      <c r="K43" s="22"/>
      <c r="L43" s="22"/>
    </row>
    <row r="44" spans="1:12" s="35" customFormat="1" ht="11.5" x14ac:dyDescent="0.25">
      <c r="A44" s="519" t="s">
        <v>464</v>
      </c>
      <c r="B44" s="517">
        <v>50.6</v>
      </c>
      <c r="C44" s="517">
        <v>2.2799999999999998</v>
      </c>
      <c r="D44" s="517">
        <v>19.170000000000002</v>
      </c>
      <c r="E44" s="518">
        <v>33.71</v>
      </c>
      <c r="F44" s="22"/>
      <c r="G44" s="22"/>
      <c r="H44" s="22"/>
      <c r="I44" s="22"/>
      <c r="J44" s="22"/>
      <c r="K44" s="22"/>
      <c r="L44" s="22"/>
    </row>
    <row r="45" spans="1:12" s="35" customFormat="1" ht="11.5" x14ac:dyDescent="0.25">
      <c r="A45" s="519" t="s">
        <v>472</v>
      </c>
      <c r="B45" s="517">
        <v>7.9390000000000001</v>
      </c>
      <c r="C45" s="517">
        <v>2.56</v>
      </c>
      <c r="D45" s="517">
        <v>0</v>
      </c>
      <c r="E45" s="518">
        <v>10.499000000000001</v>
      </c>
      <c r="F45" s="22"/>
      <c r="G45" s="22"/>
      <c r="H45" s="22"/>
      <c r="I45" s="22"/>
      <c r="J45" s="22"/>
      <c r="K45" s="22"/>
      <c r="L45" s="22"/>
    </row>
    <row r="46" spans="1:12" s="56" customFormat="1" ht="11.5" x14ac:dyDescent="0.25">
      <c r="A46" s="460">
        <v>2021</v>
      </c>
      <c r="B46" s="461">
        <f>SUM(B47:B48)</f>
        <v>57.852500000000006</v>
      </c>
      <c r="C46" s="461">
        <f t="shared" ref="C46:E46" si="1">SUM(C47:C48)</f>
        <v>15.56</v>
      </c>
      <c r="D46" s="461">
        <f t="shared" si="1"/>
        <v>7.0000000000000007E-2</v>
      </c>
      <c r="E46" s="462">
        <f t="shared" si="1"/>
        <v>73.342500000000001</v>
      </c>
      <c r="F46" s="68"/>
      <c r="G46" s="68"/>
      <c r="H46" s="68"/>
      <c r="I46" s="68"/>
      <c r="J46" s="68"/>
      <c r="K46" s="68"/>
      <c r="L46" s="68"/>
    </row>
    <row r="47" spans="1:12" s="35" customFormat="1" ht="11.5" x14ac:dyDescent="0.25">
      <c r="A47" s="353" t="s">
        <v>754</v>
      </c>
      <c r="B47" s="517">
        <v>17.072500000000002</v>
      </c>
      <c r="C47" s="517">
        <v>5.74</v>
      </c>
      <c r="D47" s="517">
        <v>7.0000000000000007E-2</v>
      </c>
      <c r="E47" s="518">
        <v>22.7425</v>
      </c>
      <c r="F47" s="24"/>
      <c r="G47" s="22"/>
      <c r="H47" s="22"/>
      <c r="I47" s="22"/>
      <c r="J47" s="22"/>
      <c r="K47" s="22"/>
      <c r="L47" s="22"/>
    </row>
    <row r="48" spans="1:12" s="35" customFormat="1" ht="11.5" x14ac:dyDescent="0.25">
      <c r="A48" s="519" t="s">
        <v>464</v>
      </c>
      <c r="B48" s="517">
        <v>40.78</v>
      </c>
      <c r="C48" s="517">
        <v>9.82</v>
      </c>
      <c r="D48" s="517">
        <v>0</v>
      </c>
      <c r="E48" s="518">
        <v>50.6</v>
      </c>
      <c r="F48" s="22"/>
      <c r="G48" s="22"/>
      <c r="H48" s="22"/>
      <c r="I48" s="22"/>
      <c r="J48" s="22"/>
      <c r="K48" s="22"/>
      <c r="L48" s="22"/>
    </row>
    <row r="49" spans="1:12" s="35" customFormat="1" ht="11.5" x14ac:dyDescent="0.25">
      <c r="A49" s="519" t="s">
        <v>472</v>
      </c>
      <c r="B49" s="520" t="s">
        <v>11</v>
      </c>
      <c r="C49" s="520" t="s">
        <v>11</v>
      </c>
      <c r="D49" s="520" t="s">
        <v>11</v>
      </c>
      <c r="E49" s="521" t="s">
        <v>11</v>
      </c>
      <c r="F49" s="22"/>
      <c r="G49" s="22"/>
      <c r="H49" s="22"/>
      <c r="I49" s="22"/>
      <c r="J49" s="22"/>
      <c r="K49" s="22"/>
      <c r="L49" s="22"/>
    </row>
    <row r="50" spans="1:12" s="56" customFormat="1" ht="11.5" x14ac:dyDescent="0.25">
      <c r="A50" s="460">
        <v>2020</v>
      </c>
      <c r="B50" s="461">
        <f>SUM(B51:B52)</f>
        <v>58.150000000000006</v>
      </c>
      <c r="C50" s="461">
        <f t="shared" ref="C50:D50" si="2">SUM(C51:C52)</f>
        <v>0.17849999999999999</v>
      </c>
      <c r="D50" s="461">
        <f t="shared" si="2"/>
        <v>0.47599999999999998</v>
      </c>
      <c r="E50" s="462">
        <f t="shared" ref="E50" si="3">SUM(E51:E52)</f>
        <v>57.852500000000006</v>
      </c>
      <c r="F50" s="68"/>
      <c r="G50" s="68"/>
      <c r="H50" s="68"/>
      <c r="I50" s="68"/>
      <c r="J50" s="68"/>
      <c r="K50" s="68"/>
      <c r="L50" s="68"/>
    </row>
    <row r="51" spans="1:12" s="35" customFormat="1" ht="11.5" x14ac:dyDescent="0.25">
      <c r="A51" s="353" t="s">
        <v>754</v>
      </c>
      <c r="B51" s="517">
        <v>17.37</v>
      </c>
      <c r="C51" s="517">
        <v>0.17849999999999999</v>
      </c>
      <c r="D51" s="517">
        <v>0.47599999999999998</v>
      </c>
      <c r="E51" s="518">
        <v>17.072500000000002</v>
      </c>
      <c r="F51" s="24"/>
      <c r="G51" s="22"/>
      <c r="H51" s="22"/>
      <c r="I51" s="22"/>
      <c r="J51" s="22"/>
      <c r="K51" s="22"/>
      <c r="L51" s="22"/>
    </row>
    <row r="52" spans="1:12" s="35" customFormat="1" ht="11.5" x14ac:dyDescent="0.25">
      <c r="A52" s="519" t="s">
        <v>464</v>
      </c>
      <c r="B52" s="517">
        <v>40.78</v>
      </c>
      <c r="C52" s="517">
        <v>0</v>
      </c>
      <c r="D52" s="517">
        <v>0</v>
      </c>
      <c r="E52" s="518">
        <v>40.78</v>
      </c>
      <c r="F52" s="22"/>
      <c r="G52" s="22"/>
      <c r="H52" s="22"/>
      <c r="I52" s="22"/>
      <c r="J52" s="22"/>
      <c r="K52" s="22"/>
      <c r="L52" s="22"/>
    </row>
    <row r="53" spans="1:12" s="35" customFormat="1" ht="11.5" x14ac:dyDescent="0.25">
      <c r="A53" s="519" t="s">
        <v>472</v>
      </c>
      <c r="B53" s="520" t="s">
        <v>11</v>
      </c>
      <c r="C53" s="520" t="s">
        <v>11</v>
      </c>
      <c r="D53" s="520" t="s">
        <v>11</v>
      </c>
      <c r="E53" s="521" t="s">
        <v>11</v>
      </c>
      <c r="F53" s="22"/>
      <c r="G53" s="22"/>
      <c r="H53" s="22"/>
      <c r="I53" s="22"/>
      <c r="J53" s="22"/>
      <c r="K53" s="22"/>
      <c r="L53" s="22"/>
    </row>
    <row r="54" spans="1:12" s="35" customFormat="1" ht="44.25" customHeight="1" x14ac:dyDescent="0.25">
      <c r="A54" s="936" t="s">
        <v>1285</v>
      </c>
      <c r="B54" s="936"/>
      <c r="C54" s="936"/>
      <c r="D54" s="936"/>
      <c r="E54" s="936"/>
      <c r="F54" s="22"/>
      <c r="G54" s="22"/>
      <c r="H54" s="22"/>
      <c r="I54" s="22"/>
      <c r="J54" s="22"/>
      <c r="K54" s="22"/>
      <c r="L54" s="22"/>
    </row>
    <row r="55" spans="1:12" s="60" customFormat="1" ht="11.5" x14ac:dyDescent="0.25">
      <c r="A55" s="49"/>
      <c r="B55" s="49"/>
      <c r="C55" s="76"/>
      <c r="D55" s="77"/>
      <c r="E55" s="78"/>
      <c r="F55" s="56"/>
    </row>
    <row r="56" spans="1:12" s="62" customFormat="1" ht="30" customHeight="1" thickBot="1" x14ac:dyDescent="0.4">
      <c r="A56" s="935" t="s">
        <v>57</v>
      </c>
      <c r="B56" s="935"/>
      <c r="C56" s="935"/>
      <c r="D56" s="935"/>
      <c r="E56" s="935"/>
      <c r="F56" s="935"/>
      <c r="G56" s="935"/>
      <c r="H56" s="935"/>
      <c r="I56" s="935"/>
      <c r="J56" s="935"/>
      <c r="K56" s="935"/>
      <c r="L56" s="935"/>
    </row>
    <row r="57" spans="1:12" x14ac:dyDescent="0.3">
      <c r="A57" s="17" t="s">
        <v>170</v>
      </c>
    </row>
    <row r="59" spans="1:12" s="60" customFormat="1" ht="39" customHeight="1" x14ac:dyDescent="0.25">
      <c r="A59" s="454" t="s">
        <v>146</v>
      </c>
      <c r="B59" s="455" t="s">
        <v>898</v>
      </c>
      <c r="C59" s="455" t="s">
        <v>899</v>
      </c>
      <c r="D59" s="455" t="s">
        <v>900</v>
      </c>
      <c r="E59" s="455" t="s">
        <v>901</v>
      </c>
      <c r="F59" s="456" t="s">
        <v>902</v>
      </c>
      <c r="G59" s="65"/>
      <c r="H59" s="65"/>
      <c r="I59" s="65"/>
      <c r="J59" s="65"/>
      <c r="K59" s="65"/>
      <c r="L59" s="65"/>
    </row>
    <row r="60" spans="1:12" s="22" customFormat="1" ht="27" customHeight="1" x14ac:dyDescent="0.25">
      <c r="A60" s="353" t="s">
        <v>461</v>
      </c>
      <c r="B60" s="494" t="s">
        <v>171</v>
      </c>
      <c r="C60" s="944" t="s">
        <v>172</v>
      </c>
      <c r="D60" s="494" t="s">
        <v>171</v>
      </c>
      <c r="E60" s="494" t="s">
        <v>171</v>
      </c>
      <c r="F60" s="522" t="s">
        <v>171</v>
      </c>
    </row>
    <row r="61" spans="1:12" s="22" customFormat="1" ht="27.75" customHeight="1" x14ac:dyDescent="0.25">
      <c r="A61" s="519" t="s">
        <v>464</v>
      </c>
      <c r="B61" s="494" t="s">
        <v>171</v>
      </c>
      <c r="C61" s="944"/>
      <c r="D61" s="494" t="s">
        <v>171</v>
      </c>
      <c r="E61" s="494" t="s">
        <v>171</v>
      </c>
      <c r="F61" s="522" t="s">
        <v>171</v>
      </c>
    </row>
    <row r="62" spans="1:12" s="22" customFormat="1" ht="26.25" customHeight="1" x14ac:dyDescent="0.25">
      <c r="A62" s="519" t="s">
        <v>472</v>
      </c>
      <c r="B62" s="494" t="s">
        <v>171</v>
      </c>
      <c r="C62" s="944"/>
      <c r="D62" s="494" t="s">
        <v>171</v>
      </c>
      <c r="E62" s="494" t="s">
        <v>171</v>
      </c>
      <c r="F62" s="522" t="s">
        <v>171</v>
      </c>
    </row>
    <row r="63" spans="1:12" s="72" customFormat="1" ht="11.5" x14ac:dyDescent="0.25">
      <c r="A63" s="66"/>
      <c r="B63" s="69"/>
      <c r="C63" s="48"/>
      <c r="D63" s="69"/>
      <c r="E63" s="69"/>
      <c r="F63" s="69"/>
    </row>
    <row r="64" spans="1:12" s="62" customFormat="1" ht="30" customHeight="1" thickBot="1" x14ac:dyDescent="0.4">
      <c r="A64" s="935" t="s">
        <v>59</v>
      </c>
      <c r="B64" s="935"/>
      <c r="C64" s="935"/>
      <c r="D64" s="935"/>
      <c r="E64" s="935"/>
      <c r="F64" s="935"/>
      <c r="G64" s="935"/>
      <c r="H64" s="935"/>
      <c r="I64" s="935"/>
      <c r="J64" s="935"/>
      <c r="K64" s="935"/>
      <c r="L64" s="935"/>
    </row>
    <row r="65" spans="1:6" x14ac:dyDescent="0.3">
      <c r="A65" s="17" t="s">
        <v>173</v>
      </c>
    </row>
    <row r="67" spans="1:6" s="60" customFormat="1" ht="11.5" x14ac:dyDescent="0.25">
      <c r="A67" s="142" t="s">
        <v>174</v>
      </c>
      <c r="B67" s="142" t="s">
        <v>587</v>
      </c>
      <c r="C67" s="142" t="s">
        <v>588</v>
      </c>
      <c r="D67" s="142" t="s">
        <v>589</v>
      </c>
      <c r="E67" s="142" t="s">
        <v>590</v>
      </c>
    </row>
    <row r="68" spans="1:6" s="22" customFormat="1" ht="50.25" customHeight="1" x14ac:dyDescent="0.25">
      <c r="A68" s="478" t="s">
        <v>461</v>
      </c>
      <c r="B68" s="368" t="s">
        <v>591</v>
      </c>
      <c r="C68" s="478" t="s">
        <v>148</v>
      </c>
      <c r="D68" s="478" t="s">
        <v>148</v>
      </c>
      <c r="E68" s="358" t="s">
        <v>592</v>
      </c>
    </row>
    <row r="69" spans="1:6" s="22" customFormat="1" ht="38.25" customHeight="1" x14ac:dyDescent="0.25">
      <c r="A69" s="478" t="s">
        <v>464</v>
      </c>
      <c r="B69" s="368" t="s">
        <v>593</v>
      </c>
      <c r="C69" s="478" t="s">
        <v>148</v>
      </c>
      <c r="D69" s="478" t="s">
        <v>148</v>
      </c>
      <c r="E69" s="358" t="s">
        <v>592</v>
      </c>
    </row>
    <row r="70" spans="1:6" s="22" customFormat="1" ht="25.5" customHeight="1" x14ac:dyDescent="0.25">
      <c r="A70" s="480" t="s">
        <v>472</v>
      </c>
      <c r="B70" s="473" t="s">
        <v>594</v>
      </c>
      <c r="C70" s="480" t="s">
        <v>148</v>
      </c>
      <c r="D70" s="480" t="s">
        <v>148</v>
      </c>
      <c r="E70" s="363" t="s">
        <v>595</v>
      </c>
    </row>
    <row r="71" spans="1:6" s="22" customFormat="1" ht="30" customHeight="1" x14ac:dyDescent="0.25">
      <c r="A71" s="936" t="s">
        <v>1286</v>
      </c>
      <c r="B71" s="936"/>
      <c r="C71" s="936"/>
      <c r="D71" s="936"/>
      <c r="E71" s="936"/>
    </row>
    <row r="72" spans="1:6" s="29" customFormat="1" ht="24" customHeight="1" x14ac:dyDescent="0.25">
      <c r="A72" s="22" t="s">
        <v>1134</v>
      </c>
      <c r="B72" s="523" t="s">
        <v>1133</v>
      </c>
      <c r="C72" s="35"/>
      <c r="D72" s="524"/>
      <c r="F72" s="35"/>
    </row>
    <row r="73" spans="1:6" s="23" customFormat="1" ht="11.5" x14ac:dyDescent="0.35">
      <c r="A73" s="85" t="s">
        <v>1135</v>
      </c>
      <c r="B73" s="484">
        <f>3/3</f>
        <v>1</v>
      </c>
      <c r="C73" s="481"/>
      <c r="D73" s="483"/>
      <c r="F73" s="481"/>
    </row>
  </sheetData>
  <mergeCells count="27">
    <mergeCell ref="A64:D64"/>
    <mergeCell ref="E64:H64"/>
    <mergeCell ref="I64:L64"/>
    <mergeCell ref="C60:C62"/>
    <mergeCell ref="I32:L32"/>
    <mergeCell ref="A38:D38"/>
    <mergeCell ref="E38:H38"/>
    <mergeCell ref="I38:L38"/>
    <mergeCell ref="A56:D56"/>
    <mergeCell ref="E56:H56"/>
    <mergeCell ref="I56:L56"/>
    <mergeCell ref="A1:D1"/>
    <mergeCell ref="E1:H1"/>
    <mergeCell ref="I1:L1"/>
    <mergeCell ref="A71:E71"/>
    <mergeCell ref="A8:G8"/>
    <mergeCell ref="A18:H18"/>
    <mergeCell ref="A30:E30"/>
    <mergeCell ref="A54:E54"/>
    <mergeCell ref="A10:D10"/>
    <mergeCell ref="E10:H10"/>
    <mergeCell ref="I10:L10"/>
    <mergeCell ref="A20:D20"/>
    <mergeCell ref="E20:H20"/>
    <mergeCell ref="I20:L20"/>
    <mergeCell ref="A32:D32"/>
    <mergeCell ref="E32:H32"/>
  </mergeCells>
  <phoneticPr fontId="8" type="noConversion"/>
  <dataValidations count="1">
    <dataValidation type="list" allowBlank="1" showInputMessage="1" showErrorMessage="1" sqref="C36" xr:uid="{37D2565A-89D1-4889-A8E4-BBB5685C0C92}">
      <formula1>Framework</formula1>
    </dataValidation>
  </dataValidations>
  <pageMargins left="0.7" right="0.7" top="0.75" bottom="0.75" header="0.3" footer="0.3"/>
  <pageSetup orientation="portrait" r:id="rId1"/>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846B-EB2F-4A1E-A838-0831DE3B4D72}">
  <dimension ref="A1:Z85"/>
  <sheetViews>
    <sheetView showGridLines="0" zoomScale="90" zoomScaleNormal="90" workbookViewId="0">
      <selection activeCell="A18" activeCellId="2" sqref="A4:XFD5 A7:XFD16 A18:XFD21"/>
    </sheetView>
  </sheetViews>
  <sheetFormatPr defaultColWidth="11.453125" defaultRowHeight="14" x14ac:dyDescent="0.3"/>
  <cols>
    <col min="1" max="1" width="80.453125" style="18" customWidth="1"/>
    <col min="2" max="2" width="21.453125" style="18" customWidth="1"/>
    <col min="3" max="3" width="23.1796875" style="18" customWidth="1"/>
    <col min="4" max="4" width="21" style="18" customWidth="1"/>
    <col min="5" max="5" width="13.453125" style="18" bestFit="1" customWidth="1"/>
    <col min="6" max="6" width="18.453125" style="18" customWidth="1"/>
    <col min="7" max="7" width="16.81640625" style="18" bestFit="1" customWidth="1"/>
    <col min="8" max="8" width="18.453125" style="18" customWidth="1"/>
    <col min="9" max="9" width="11.26953125" style="18" customWidth="1"/>
    <col min="10" max="10" width="19.453125" style="18" customWidth="1"/>
    <col min="11" max="11" width="18.453125" style="18" bestFit="1" customWidth="1"/>
    <col min="12" max="12" width="15.7265625" style="18" customWidth="1"/>
    <col min="13" max="13" width="6.26953125" style="18" bestFit="1" customWidth="1"/>
    <col min="14" max="14" width="20.1796875" style="18" customWidth="1"/>
    <col min="15" max="15" width="6.26953125" style="18" bestFit="1" customWidth="1"/>
    <col min="16" max="16" width="20.453125" style="18" customWidth="1"/>
    <col min="17" max="17" width="6.26953125" style="18" bestFit="1" customWidth="1"/>
    <col min="18" max="18" width="16.7265625" style="18" customWidth="1"/>
    <col min="19" max="19" width="6.26953125" style="18" bestFit="1" customWidth="1"/>
    <col min="20" max="20" width="17.7265625" style="18" customWidth="1"/>
    <col min="21" max="16384" width="11.453125" style="18"/>
  </cols>
  <sheetData>
    <row r="1" spans="1:21" s="16" customFormat="1" ht="30" customHeight="1" thickBot="1" x14ac:dyDescent="0.4">
      <c r="A1" s="935" t="s">
        <v>1137</v>
      </c>
      <c r="B1" s="935"/>
      <c r="C1" s="935"/>
      <c r="D1" s="935"/>
      <c r="E1" s="945"/>
      <c r="F1" s="945"/>
      <c r="G1" s="945"/>
      <c r="H1" s="945"/>
      <c r="I1" s="945"/>
      <c r="J1" s="945"/>
      <c r="K1" s="945"/>
      <c r="L1" s="945"/>
    </row>
    <row r="2" spans="1:21" x14ac:dyDescent="0.3">
      <c r="A2" s="17" t="s">
        <v>944</v>
      </c>
    </row>
    <row r="4" spans="1:21" s="19" customFormat="1" x14ac:dyDescent="0.3">
      <c r="A4" s="946" t="s">
        <v>175</v>
      </c>
      <c r="B4" s="424">
        <v>2022</v>
      </c>
      <c r="C4" s="425"/>
      <c r="D4" s="425"/>
      <c r="E4" s="425"/>
      <c r="F4" s="425"/>
      <c r="G4" s="425"/>
      <c r="H4" s="425"/>
      <c r="I4" s="426"/>
      <c r="J4" s="431">
        <v>2021</v>
      </c>
      <c r="K4" s="432"/>
      <c r="L4" s="432"/>
      <c r="M4" s="432"/>
      <c r="N4" s="432"/>
      <c r="O4" s="433"/>
      <c r="P4" s="431">
        <v>2020</v>
      </c>
      <c r="Q4" s="432"/>
      <c r="R4" s="432"/>
      <c r="S4" s="432"/>
      <c r="T4" s="432"/>
      <c r="U4" s="433"/>
    </row>
    <row r="5" spans="1:21" s="19" customFormat="1" x14ac:dyDescent="0.3">
      <c r="A5" s="946"/>
      <c r="B5" s="223" t="s">
        <v>471</v>
      </c>
      <c r="C5" s="224" t="s">
        <v>176</v>
      </c>
      <c r="D5" s="224" t="s">
        <v>113</v>
      </c>
      <c r="E5" s="224" t="s">
        <v>176</v>
      </c>
      <c r="F5" s="224" t="s">
        <v>114</v>
      </c>
      <c r="G5" s="224" t="s">
        <v>176</v>
      </c>
      <c r="H5" s="224" t="s">
        <v>472</v>
      </c>
      <c r="I5" s="225" t="s">
        <v>176</v>
      </c>
      <c r="J5" s="223" t="s">
        <v>471</v>
      </c>
      <c r="K5" s="224" t="s">
        <v>176</v>
      </c>
      <c r="L5" s="224" t="s">
        <v>113</v>
      </c>
      <c r="M5" s="224" t="s">
        <v>176</v>
      </c>
      <c r="N5" s="224" t="s">
        <v>114</v>
      </c>
      <c r="O5" s="225" t="s">
        <v>176</v>
      </c>
      <c r="P5" s="223" t="s">
        <v>471</v>
      </c>
      <c r="Q5" s="224" t="s">
        <v>176</v>
      </c>
      <c r="R5" s="224" t="s">
        <v>113</v>
      </c>
      <c r="S5" s="224" t="s">
        <v>176</v>
      </c>
      <c r="T5" s="224" t="s">
        <v>114</v>
      </c>
      <c r="U5" s="225" t="s">
        <v>176</v>
      </c>
    </row>
    <row r="6" spans="1:21" x14ac:dyDescent="0.3">
      <c r="A6" s="451" t="s">
        <v>177</v>
      </c>
      <c r="B6" s="451"/>
      <c r="C6" s="452"/>
      <c r="D6" s="452"/>
      <c r="E6" s="452"/>
      <c r="F6" s="452"/>
      <c r="G6" s="452"/>
      <c r="H6" s="452"/>
      <c r="I6" s="453"/>
      <c r="J6" s="451"/>
      <c r="K6" s="452"/>
      <c r="L6" s="452"/>
      <c r="M6" s="452"/>
      <c r="N6" s="452"/>
      <c r="O6" s="453"/>
      <c r="P6" s="451"/>
      <c r="Q6" s="452"/>
      <c r="R6" s="452"/>
      <c r="S6" s="452"/>
      <c r="T6" s="452"/>
      <c r="U6" s="453"/>
    </row>
    <row r="7" spans="1:21" x14ac:dyDescent="0.3">
      <c r="A7" s="408" t="s">
        <v>178</v>
      </c>
      <c r="B7" s="427">
        <f t="shared" ref="B7:B16" si="0">SUM(D7+F7+H7)</f>
        <v>1527514.21</v>
      </c>
      <c r="C7" s="409">
        <f>B7/B21</f>
        <v>0.77892595977076318</v>
      </c>
      <c r="D7" s="410">
        <f>SUM(D8:D10)</f>
        <v>341618.38</v>
      </c>
      <c r="E7" s="411">
        <f>D7/D21</f>
        <v>0.57604936517919025</v>
      </c>
      <c r="F7" s="410">
        <f>SUM(F8:F10)</f>
        <v>737390.83</v>
      </c>
      <c r="G7" s="411">
        <f>F7/F21</f>
        <v>0.8262191087942975</v>
      </c>
      <c r="H7" s="410">
        <f>SUM(H8:H10)</f>
        <v>448505</v>
      </c>
      <c r="I7" s="423">
        <f>H7/H21</f>
        <v>0.94317462520529849</v>
      </c>
      <c r="J7" s="427">
        <f t="shared" ref="J7:J16" si="1">SUM(L7+N7)</f>
        <v>1003015</v>
      </c>
      <c r="K7" s="412">
        <f>J7/J21</f>
        <v>0.73090387336824325</v>
      </c>
      <c r="L7" s="410">
        <f>SUM(L8:L10)</f>
        <v>469301</v>
      </c>
      <c r="M7" s="412">
        <f>L7/L21</f>
        <v>0.6989220568787009</v>
      </c>
      <c r="N7" s="410">
        <f>SUM(N8:N10)</f>
        <v>533714</v>
      </c>
      <c r="O7" s="413">
        <f>N7/N21</f>
        <v>0.76154559593624704</v>
      </c>
      <c r="P7" s="427">
        <f>SUM(R7+T7)</f>
        <v>730219.8</v>
      </c>
      <c r="Q7" s="411">
        <f t="shared" ref="Q7:Q16" si="2">P7/$P$21</f>
        <v>0.7215854527890172</v>
      </c>
      <c r="R7" s="410">
        <f>SUM(R8:R10)</f>
        <v>494931</v>
      </c>
      <c r="S7" s="412">
        <f t="shared" ref="S7:S16" si="3">R7/$R$21</f>
        <v>0.75789236734268861</v>
      </c>
      <c r="T7" s="410">
        <f>SUM(T8:T10)</f>
        <v>235288.8</v>
      </c>
      <c r="U7" s="413">
        <f t="shared" ref="U7:U16" si="4">T7/$T$21</f>
        <v>0.65552874127475624</v>
      </c>
    </row>
    <row r="8" spans="1:21" x14ac:dyDescent="0.3">
      <c r="A8" s="414" t="s">
        <v>179</v>
      </c>
      <c r="B8" s="428">
        <f t="shared" si="0"/>
        <v>1328419.7</v>
      </c>
      <c r="C8" s="415">
        <f>B8/B21</f>
        <v>0.67740161304351421</v>
      </c>
      <c r="D8" s="416">
        <v>294924.7</v>
      </c>
      <c r="E8" s="417">
        <f>D8/D21</f>
        <v>0.49731277986466405</v>
      </c>
      <c r="F8" s="416">
        <v>715924</v>
      </c>
      <c r="G8" s="417">
        <f>F8/F21</f>
        <v>0.80216632100571228</v>
      </c>
      <c r="H8" s="416">
        <v>317571</v>
      </c>
      <c r="I8" s="429">
        <f>H8/H21</f>
        <v>0.66782958696351624</v>
      </c>
      <c r="J8" s="428">
        <f t="shared" si="1"/>
        <v>998429</v>
      </c>
      <c r="K8" s="418">
        <f>J8/J21</f>
        <v>0.72756202388117996</v>
      </c>
      <c r="L8" s="416">
        <v>464724</v>
      </c>
      <c r="M8" s="418">
        <f>L8/L21</f>
        <v>0.69210560804451171</v>
      </c>
      <c r="N8" s="416">
        <v>533705</v>
      </c>
      <c r="O8" s="420">
        <f>N8/N21</f>
        <v>0.76153275402023313</v>
      </c>
      <c r="P8" s="428">
        <f>SUM(R8+T8)</f>
        <v>730212</v>
      </c>
      <c r="Q8" s="417">
        <f t="shared" si="2"/>
        <v>0.72157774501865568</v>
      </c>
      <c r="R8" s="419">
        <v>494931</v>
      </c>
      <c r="S8" s="418">
        <f t="shared" si="3"/>
        <v>0.75789236734268861</v>
      </c>
      <c r="T8" s="419">
        <v>235281</v>
      </c>
      <c r="U8" s="420">
        <f t="shared" si="4"/>
        <v>0.65550701000585632</v>
      </c>
    </row>
    <row r="9" spans="1:21" x14ac:dyDescent="0.3">
      <c r="A9" s="414" t="s">
        <v>180</v>
      </c>
      <c r="B9" s="428">
        <f t="shared" si="0"/>
        <v>199094.51</v>
      </c>
      <c r="C9" s="415">
        <f>B9/B21</f>
        <v>0.10152434672724898</v>
      </c>
      <c r="D9" s="419">
        <v>46693.68</v>
      </c>
      <c r="E9" s="417">
        <f>D9/D21</f>
        <v>7.8736585314526264E-2</v>
      </c>
      <c r="F9" s="419">
        <v>21466.83</v>
      </c>
      <c r="G9" s="417">
        <f>F9/F21</f>
        <v>2.4052787788585182E-2</v>
      </c>
      <c r="H9" s="419">
        <v>130934</v>
      </c>
      <c r="I9" s="429">
        <f>H9/H21</f>
        <v>0.2753450382417823</v>
      </c>
      <c r="J9" s="428">
        <f t="shared" si="1"/>
        <v>4586</v>
      </c>
      <c r="K9" s="418">
        <f>J9/J21</f>
        <v>3.3418494870632678E-3</v>
      </c>
      <c r="L9" s="419">
        <v>4577</v>
      </c>
      <c r="M9" s="418">
        <f>L9/L21</f>
        <v>6.8164488341891745E-3</v>
      </c>
      <c r="N9" s="419">
        <v>9</v>
      </c>
      <c r="O9" s="420">
        <f>N9/N21</f>
        <v>1.2841916013869269E-5</v>
      </c>
      <c r="P9" s="428">
        <f t="shared" ref="P9:P10" si="5">SUM(R9+T9)</f>
        <v>7.8</v>
      </c>
      <c r="Q9" s="417">
        <f t="shared" si="2"/>
        <v>7.7077703614094469E-6</v>
      </c>
      <c r="R9" s="419">
        <v>0</v>
      </c>
      <c r="S9" s="418">
        <f t="shared" si="3"/>
        <v>0</v>
      </c>
      <c r="T9" s="419">
        <v>7.8</v>
      </c>
      <c r="U9" s="420">
        <f t="shared" si="4"/>
        <v>2.1731268899935307E-5</v>
      </c>
    </row>
    <row r="10" spans="1:21" x14ac:dyDescent="0.3">
      <c r="A10" s="414" t="s">
        <v>181</v>
      </c>
      <c r="B10" s="428">
        <f t="shared" si="0"/>
        <v>0</v>
      </c>
      <c r="C10" s="415">
        <f>B10/B21</f>
        <v>0</v>
      </c>
      <c r="D10" s="416">
        <f>SUM(J10:K10)</f>
        <v>0</v>
      </c>
      <c r="E10" s="417">
        <f>D10/D21</f>
        <v>0</v>
      </c>
      <c r="F10" s="419">
        <v>0</v>
      </c>
      <c r="G10" s="417">
        <f>F10/F21</f>
        <v>0</v>
      </c>
      <c r="H10" s="419">
        <v>0</v>
      </c>
      <c r="I10" s="429">
        <f>H10/H21</f>
        <v>0</v>
      </c>
      <c r="J10" s="428">
        <f t="shared" si="1"/>
        <v>0</v>
      </c>
      <c r="K10" s="418">
        <f>J10/J21</f>
        <v>0</v>
      </c>
      <c r="L10" s="416">
        <f>SUM(T10:V10)</f>
        <v>0</v>
      </c>
      <c r="M10" s="418">
        <f>L10/L21</f>
        <v>0</v>
      </c>
      <c r="N10" s="419">
        <v>0</v>
      </c>
      <c r="O10" s="420">
        <f>N10/N21</f>
        <v>0</v>
      </c>
      <c r="P10" s="428">
        <f t="shared" si="5"/>
        <v>0</v>
      </c>
      <c r="Q10" s="417">
        <f t="shared" si="2"/>
        <v>0</v>
      </c>
      <c r="R10" s="419">
        <v>0</v>
      </c>
      <c r="S10" s="418">
        <f t="shared" si="3"/>
        <v>0</v>
      </c>
      <c r="T10" s="419">
        <v>0</v>
      </c>
      <c r="U10" s="420">
        <f t="shared" si="4"/>
        <v>0</v>
      </c>
    </row>
    <row r="11" spans="1:21" s="20" customFormat="1" x14ac:dyDescent="0.3">
      <c r="A11" s="408" t="s">
        <v>182</v>
      </c>
      <c r="B11" s="427">
        <f t="shared" si="0"/>
        <v>0</v>
      </c>
      <c r="C11" s="409">
        <f>B11/B21</f>
        <v>0</v>
      </c>
      <c r="D11" s="410">
        <f>SUM(D12:D15)</f>
        <v>0</v>
      </c>
      <c r="E11" s="411">
        <f>D11/D21</f>
        <v>0</v>
      </c>
      <c r="F11" s="410">
        <f>SUM(F12:F15)</f>
        <v>0</v>
      </c>
      <c r="G11" s="411">
        <f>F11/F21</f>
        <v>0</v>
      </c>
      <c r="H11" s="410">
        <f>SUM(H12:H15)</f>
        <v>0</v>
      </c>
      <c r="I11" s="423">
        <f>H11/H21</f>
        <v>0</v>
      </c>
      <c r="J11" s="427">
        <f t="shared" si="1"/>
        <v>0</v>
      </c>
      <c r="K11" s="412">
        <f>J11/J21</f>
        <v>0</v>
      </c>
      <c r="L11" s="410">
        <f>SUM(L12:L15)</f>
        <v>0</v>
      </c>
      <c r="M11" s="412">
        <f>L11/L21</f>
        <v>0</v>
      </c>
      <c r="N11" s="410">
        <f>SUM(N12:N15)</f>
        <v>0</v>
      </c>
      <c r="O11" s="413">
        <f>N11/N21</f>
        <v>0</v>
      </c>
      <c r="P11" s="427">
        <f>SUM(R11+T11)</f>
        <v>0</v>
      </c>
      <c r="Q11" s="411">
        <f t="shared" si="2"/>
        <v>0</v>
      </c>
      <c r="R11" s="410">
        <f>SUM(R12:R15)</f>
        <v>0</v>
      </c>
      <c r="S11" s="412">
        <f t="shared" si="3"/>
        <v>0</v>
      </c>
      <c r="T11" s="410">
        <f>SUM(T12:T15)</f>
        <v>0</v>
      </c>
      <c r="U11" s="413">
        <f t="shared" si="4"/>
        <v>0</v>
      </c>
    </row>
    <row r="12" spans="1:21" x14ac:dyDescent="0.3">
      <c r="A12" s="414" t="s">
        <v>183</v>
      </c>
      <c r="B12" s="428">
        <f t="shared" si="0"/>
        <v>0</v>
      </c>
      <c r="C12" s="415">
        <f>B12/B21</f>
        <v>0</v>
      </c>
      <c r="D12" s="419">
        <v>0</v>
      </c>
      <c r="E12" s="417">
        <f>D12/D21</f>
        <v>0</v>
      </c>
      <c r="F12" s="419">
        <v>0</v>
      </c>
      <c r="G12" s="421">
        <f>F12/F21</f>
        <v>0</v>
      </c>
      <c r="H12" s="419">
        <v>0</v>
      </c>
      <c r="I12" s="430">
        <f>H12/H21</f>
        <v>0</v>
      </c>
      <c r="J12" s="428">
        <f t="shared" si="1"/>
        <v>0</v>
      </c>
      <c r="K12" s="418">
        <f>J12/J21</f>
        <v>0</v>
      </c>
      <c r="L12" s="419">
        <v>0</v>
      </c>
      <c r="M12" s="418">
        <f>L12/L21</f>
        <v>0</v>
      </c>
      <c r="N12" s="419">
        <v>0</v>
      </c>
      <c r="O12" s="434">
        <f>N12/N21</f>
        <v>0</v>
      </c>
      <c r="P12" s="428">
        <f>SUM(R12+T12)</f>
        <v>0</v>
      </c>
      <c r="Q12" s="417">
        <f t="shared" si="2"/>
        <v>0</v>
      </c>
      <c r="R12" s="419">
        <v>0</v>
      </c>
      <c r="S12" s="418">
        <f t="shared" si="3"/>
        <v>0</v>
      </c>
      <c r="T12" s="419">
        <v>0</v>
      </c>
      <c r="U12" s="420">
        <f t="shared" si="4"/>
        <v>0</v>
      </c>
    </row>
    <row r="13" spans="1:21" x14ac:dyDescent="0.3">
      <c r="A13" s="414" t="s">
        <v>184</v>
      </c>
      <c r="B13" s="428">
        <f t="shared" si="0"/>
        <v>0</v>
      </c>
      <c r="C13" s="415">
        <f>B13/B21</f>
        <v>0</v>
      </c>
      <c r="D13" s="419">
        <v>0</v>
      </c>
      <c r="E13" s="417">
        <f>D13/D21</f>
        <v>0</v>
      </c>
      <c r="F13" s="419">
        <v>0</v>
      </c>
      <c r="G13" s="421">
        <f>F13/F21</f>
        <v>0</v>
      </c>
      <c r="H13" s="419">
        <v>0</v>
      </c>
      <c r="I13" s="430">
        <f>H13/H21</f>
        <v>0</v>
      </c>
      <c r="J13" s="428">
        <f t="shared" si="1"/>
        <v>0</v>
      </c>
      <c r="K13" s="418">
        <f>J13/J21</f>
        <v>0</v>
      </c>
      <c r="L13" s="419">
        <v>0</v>
      </c>
      <c r="M13" s="418">
        <f>L13/L21</f>
        <v>0</v>
      </c>
      <c r="N13" s="419">
        <v>0</v>
      </c>
      <c r="O13" s="434">
        <f>N13/N21</f>
        <v>0</v>
      </c>
      <c r="P13" s="428">
        <f t="shared" ref="P13:P15" si="6">SUM(R13+T13)</f>
        <v>0</v>
      </c>
      <c r="Q13" s="417">
        <f t="shared" si="2"/>
        <v>0</v>
      </c>
      <c r="R13" s="419">
        <v>0</v>
      </c>
      <c r="S13" s="418">
        <f t="shared" si="3"/>
        <v>0</v>
      </c>
      <c r="T13" s="419">
        <v>0</v>
      </c>
      <c r="U13" s="420">
        <f t="shared" si="4"/>
        <v>0</v>
      </c>
    </row>
    <row r="14" spans="1:21" x14ac:dyDescent="0.3">
      <c r="A14" s="414" t="s">
        <v>185</v>
      </c>
      <c r="B14" s="428">
        <f t="shared" si="0"/>
        <v>0</v>
      </c>
      <c r="C14" s="415">
        <f>B14/B21</f>
        <v>0</v>
      </c>
      <c r="D14" s="419">
        <v>0</v>
      </c>
      <c r="E14" s="417">
        <f>D14/D21</f>
        <v>0</v>
      </c>
      <c r="F14" s="419">
        <v>0</v>
      </c>
      <c r="G14" s="421">
        <f>F14/F21</f>
        <v>0</v>
      </c>
      <c r="H14" s="419">
        <v>0</v>
      </c>
      <c r="I14" s="430">
        <f>H14/H21</f>
        <v>0</v>
      </c>
      <c r="J14" s="428">
        <f t="shared" si="1"/>
        <v>0</v>
      </c>
      <c r="K14" s="418">
        <f>J14/J21</f>
        <v>0</v>
      </c>
      <c r="L14" s="419">
        <v>0</v>
      </c>
      <c r="M14" s="418">
        <f>L14/L21</f>
        <v>0</v>
      </c>
      <c r="N14" s="419">
        <v>0</v>
      </c>
      <c r="O14" s="434">
        <f>N14/N21</f>
        <v>0</v>
      </c>
      <c r="P14" s="428">
        <f t="shared" si="6"/>
        <v>0</v>
      </c>
      <c r="Q14" s="417">
        <f t="shared" si="2"/>
        <v>0</v>
      </c>
      <c r="R14" s="419">
        <v>0</v>
      </c>
      <c r="S14" s="418">
        <f t="shared" si="3"/>
        <v>0</v>
      </c>
      <c r="T14" s="419">
        <v>0</v>
      </c>
      <c r="U14" s="420">
        <f t="shared" si="4"/>
        <v>0</v>
      </c>
    </row>
    <row r="15" spans="1:21" x14ac:dyDescent="0.3">
      <c r="A15" s="414" t="s">
        <v>186</v>
      </c>
      <c r="B15" s="428">
        <f t="shared" si="0"/>
        <v>0</v>
      </c>
      <c r="C15" s="415">
        <f>B15/B21</f>
        <v>0</v>
      </c>
      <c r="D15" s="419">
        <v>0</v>
      </c>
      <c r="E15" s="417">
        <f>D15/D21</f>
        <v>0</v>
      </c>
      <c r="F15" s="419">
        <v>0</v>
      </c>
      <c r="G15" s="421">
        <f>F15/F21</f>
        <v>0</v>
      </c>
      <c r="H15" s="419">
        <v>0</v>
      </c>
      <c r="I15" s="430">
        <f>H15/H21</f>
        <v>0</v>
      </c>
      <c r="J15" s="428">
        <f t="shared" si="1"/>
        <v>0</v>
      </c>
      <c r="K15" s="418">
        <f>J15/J21</f>
        <v>0</v>
      </c>
      <c r="L15" s="419">
        <v>0</v>
      </c>
      <c r="M15" s="418">
        <f>L15/L21</f>
        <v>0</v>
      </c>
      <c r="N15" s="419">
        <v>0</v>
      </c>
      <c r="O15" s="434">
        <f>N15/N21</f>
        <v>0</v>
      </c>
      <c r="P15" s="428">
        <f t="shared" si="6"/>
        <v>0</v>
      </c>
      <c r="Q15" s="417">
        <f t="shared" si="2"/>
        <v>0</v>
      </c>
      <c r="R15" s="419">
        <v>0</v>
      </c>
      <c r="S15" s="418">
        <f t="shared" si="3"/>
        <v>0</v>
      </c>
      <c r="T15" s="419">
        <v>0</v>
      </c>
      <c r="U15" s="420">
        <f t="shared" si="4"/>
        <v>0</v>
      </c>
    </row>
    <row r="16" spans="1:21" x14ac:dyDescent="0.3">
      <c r="A16" s="408" t="s">
        <v>187</v>
      </c>
      <c r="B16" s="427">
        <f t="shared" si="0"/>
        <v>1527514.21</v>
      </c>
      <c r="C16" s="409">
        <f>B16/B21</f>
        <v>0.77892595977076318</v>
      </c>
      <c r="D16" s="410">
        <f>SUM(D7+D11)</f>
        <v>341618.38</v>
      </c>
      <c r="E16" s="411">
        <f>D16/D21</f>
        <v>0.57604936517919025</v>
      </c>
      <c r="F16" s="410">
        <f>SUM(F7+F11)</f>
        <v>737390.83</v>
      </c>
      <c r="G16" s="411">
        <f>F16/F21</f>
        <v>0.8262191087942975</v>
      </c>
      <c r="H16" s="410">
        <f>SUM(H7+H11)</f>
        <v>448505</v>
      </c>
      <c r="I16" s="423">
        <f>H16/H21</f>
        <v>0.94317462520529849</v>
      </c>
      <c r="J16" s="427">
        <f t="shared" si="1"/>
        <v>1003015</v>
      </c>
      <c r="K16" s="412">
        <f>J16/J21</f>
        <v>0.73090387336824325</v>
      </c>
      <c r="L16" s="410">
        <f>SUM(L7+L11)</f>
        <v>469301</v>
      </c>
      <c r="M16" s="412">
        <f>L16/L21</f>
        <v>0.6989220568787009</v>
      </c>
      <c r="N16" s="410">
        <f>SUM(N7+N11)</f>
        <v>533714</v>
      </c>
      <c r="O16" s="413">
        <f>N16/N21</f>
        <v>0.76154559593624704</v>
      </c>
      <c r="P16" s="427">
        <f>SUM(R16+T16)</f>
        <v>730219.8</v>
      </c>
      <c r="Q16" s="411">
        <f t="shared" si="2"/>
        <v>0.7215854527890172</v>
      </c>
      <c r="R16" s="410">
        <f>SUM(R7+R11)</f>
        <v>494931</v>
      </c>
      <c r="S16" s="412">
        <f t="shared" si="3"/>
        <v>0.75789236734268861</v>
      </c>
      <c r="T16" s="410">
        <f>SUM(T7+T11)</f>
        <v>235288.8</v>
      </c>
      <c r="U16" s="413">
        <f t="shared" si="4"/>
        <v>0.65552874127475624</v>
      </c>
    </row>
    <row r="17" spans="1:26" x14ac:dyDescent="0.3">
      <c r="A17" s="451" t="s">
        <v>1125</v>
      </c>
      <c r="B17" s="451"/>
      <c r="C17" s="452"/>
      <c r="D17" s="452"/>
      <c r="E17" s="452"/>
      <c r="F17" s="452"/>
      <c r="G17" s="452"/>
      <c r="H17" s="452"/>
      <c r="I17" s="453"/>
      <c r="J17" s="451"/>
      <c r="K17" s="452"/>
      <c r="L17" s="452"/>
      <c r="M17" s="452"/>
      <c r="N17" s="452"/>
      <c r="O17" s="453"/>
      <c r="P17" s="451"/>
      <c r="Q17" s="452"/>
      <c r="R17" s="452"/>
      <c r="S17" s="452"/>
      <c r="T17" s="452"/>
      <c r="U17" s="453"/>
    </row>
    <row r="18" spans="1:26" x14ac:dyDescent="0.3">
      <c r="A18" s="414" t="s">
        <v>188</v>
      </c>
      <c r="B18" s="428">
        <f>SUM(D18+F18+H18)</f>
        <v>412656.66000000003</v>
      </c>
      <c r="C18" s="415">
        <f>B18/B21</f>
        <v>0.21042618316872974</v>
      </c>
      <c r="D18" s="419">
        <v>251418.26</v>
      </c>
      <c r="E18" s="421">
        <f>D18/D21</f>
        <v>0.42395063482080975</v>
      </c>
      <c r="F18" s="419">
        <v>155097.4</v>
      </c>
      <c r="G18" s="421">
        <f>F18/F21</f>
        <v>0.1737808912057025</v>
      </c>
      <c r="H18" s="419">
        <v>6141</v>
      </c>
      <c r="I18" s="430">
        <f>H18/H21</f>
        <v>1.2914093206064009E-2</v>
      </c>
      <c r="J18" s="428">
        <f>SUM(L18+N18)</f>
        <v>221567.39999999997</v>
      </c>
      <c r="K18" s="418">
        <f>J18/J21</f>
        <v>0.16145767597905403</v>
      </c>
      <c r="L18" s="419">
        <f>202163*0.6</f>
        <v>121297.79999999999</v>
      </c>
      <c r="M18" s="422">
        <f>L18/L21</f>
        <v>0.18064676587277947</v>
      </c>
      <c r="N18" s="419">
        <f>167116*0.6</f>
        <v>100269.59999999999</v>
      </c>
      <c r="O18" s="434">
        <f>N18/N21</f>
        <v>0.14307264243825177</v>
      </c>
      <c r="P18" s="428">
        <f>SUM(R18+T18)</f>
        <v>169047.59999999998</v>
      </c>
      <c r="Q18" s="417">
        <f>P18/$P$21</f>
        <v>0.16704872832658965</v>
      </c>
      <c r="R18" s="419">
        <f>158105*0.6</f>
        <v>94863</v>
      </c>
      <c r="S18" s="418">
        <f>R18/$R$21</f>
        <v>0.14526457959438682</v>
      </c>
      <c r="T18" s="419">
        <f>123641*0.6</f>
        <v>74184.599999999991</v>
      </c>
      <c r="U18" s="420">
        <f>T18/$T$21</f>
        <v>0.20668275523514623</v>
      </c>
      <c r="Z18" s="21"/>
    </row>
    <row r="19" spans="1:26" x14ac:dyDescent="0.3">
      <c r="A19" s="414" t="s">
        <v>189</v>
      </c>
      <c r="B19" s="428">
        <f>SUM(D19+F19+H19)</f>
        <v>20881</v>
      </c>
      <c r="C19" s="415">
        <f>B19/B21</f>
        <v>1.0647857060507021E-2</v>
      </c>
      <c r="D19" s="381">
        <v>0</v>
      </c>
      <c r="E19" s="421">
        <f>D19/D21</f>
        <v>0</v>
      </c>
      <c r="F19" s="416">
        <v>0</v>
      </c>
      <c r="G19" s="417">
        <f>F19/F21</f>
        <v>0</v>
      </c>
      <c r="H19" s="416">
        <v>20881</v>
      </c>
      <c r="I19" s="429">
        <f>H19/H21</f>
        <v>4.3911281588637448E-2</v>
      </c>
      <c r="J19" s="428">
        <f>SUM(L19+N19)</f>
        <v>147711.60000000003</v>
      </c>
      <c r="K19" s="418">
        <f>J19/J21</f>
        <v>0.10763845065270272</v>
      </c>
      <c r="L19" s="419">
        <f>202163*0.4</f>
        <v>80865.200000000012</v>
      </c>
      <c r="M19" s="422">
        <f>L19/L21</f>
        <v>0.12043117724851966</v>
      </c>
      <c r="N19" s="416">
        <f>167116*0.4</f>
        <v>66846.400000000009</v>
      </c>
      <c r="O19" s="420">
        <f>N19/N21</f>
        <v>9.5381761625501202E-2</v>
      </c>
      <c r="P19" s="428">
        <f>SUM(R19+T19)</f>
        <v>112698.4</v>
      </c>
      <c r="Q19" s="417">
        <f>P19/$P$21</f>
        <v>0.11136581888439312</v>
      </c>
      <c r="R19" s="419">
        <f>158105*0.4</f>
        <v>63242</v>
      </c>
      <c r="S19" s="418">
        <f>R19/$R$21</f>
        <v>9.6843053062924553E-2</v>
      </c>
      <c r="T19" s="416">
        <f>123641*0.4</f>
        <v>49456.4</v>
      </c>
      <c r="U19" s="420">
        <f>T19/$T$21</f>
        <v>0.13778850349009752</v>
      </c>
    </row>
    <row r="20" spans="1:26" ht="14.5" thickBot="1" x14ac:dyDescent="0.35">
      <c r="A20" s="442" t="s">
        <v>190</v>
      </c>
      <c r="B20" s="443">
        <f>SUM(D20+F20+H20)</f>
        <v>433537.66000000003</v>
      </c>
      <c r="C20" s="444">
        <f>B20/B21</f>
        <v>0.22107404022923677</v>
      </c>
      <c r="D20" s="445">
        <f>SUM(D18:D18)</f>
        <v>251418.26</v>
      </c>
      <c r="E20" s="446">
        <f>D20/D21</f>
        <v>0.42395063482080975</v>
      </c>
      <c r="F20" s="445">
        <f>SUM(F18:F19)</f>
        <v>155097.4</v>
      </c>
      <c r="G20" s="446">
        <f>F20/F21</f>
        <v>0.1737808912057025</v>
      </c>
      <c r="H20" s="445">
        <f>SUM(H18:H19)</f>
        <v>27022</v>
      </c>
      <c r="I20" s="447">
        <f>H20/H21</f>
        <v>5.6825374794701455E-2</v>
      </c>
      <c r="J20" s="443">
        <f>SUM(L20+N20)</f>
        <v>369279</v>
      </c>
      <c r="K20" s="448">
        <f>J20/J21</f>
        <v>0.26909612663175675</v>
      </c>
      <c r="L20" s="445">
        <f>SUM(L18:L19)</f>
        <v>202163</v>
      </c>
      <c r="M20" s="448">
        <f>L20/L21</f>
        <v>0.30107794312129915</v>
      </c>
      <c r="N20" s="445">
        <f>SUM(N18:N19)</f>
        <v>167116</v>
      </c>
      <c r="O20" s="449">
        <f>N20/N21</f>
        <v>0.23845440406375298</v>
      </c>
      <c r="P20" s="443">
        <f>SUM(R20+T20)</f>
        <v>281746</v>
      </c>
      <c r="Q20" s="446">
        <f>P20/$P$21</f>
        <v>0.2784145472109828</v>
      </c>
      <c r="R20" s="445">
        <f>SUM(R18:R19)</f>
        <v>158105</v>
      </c>
      <c r="S20" s="450">
        <f>R20/$R$21</f>
        <v>0.24210763265731139</v>
      </c>
      <c r="T20" s="445">
        <f>SUM(T18:T19)</f>
        <v>123641</v>
      </c>
      <c r="U20" s="449">
        <f>T20/$T$21</f>
        <v>0.34447125872524376</v>
      </c>
    </row>
    <row r="21" spans="1:26" ht="14.5" thickTop="1" x14ac:dyDescent="0.3">
      <c r="A21" s="435" t="s">
        <v>191</v>
      </c>
      <c r="B21" s="436">
        <f>SUM(D21+F21+H21)</f>
        <v>1961051.87</v>
      </c>
      <c r="C21" s="437">
        <f>(B16+B20)/B21</f>
        <v>1</v>
      </c>
      <c r="D21" s="438">
        <f>SUM(D16+D20)</f>
        <v>593036.64</v>
      </c>
      <c r="E21" s="439">
        <f>(D16+D20)/D21</f>
        <v>1</v>
      </c>
      <c r="F21" s="438">
        <f>SUM(F16+F20)</f>
        <v>892488.23</v>
      </c>
      <c r="G21" s="439">
        <f>(F16+F20)/F21</f>
        <v>1</v>
      </c>
      <c r="H21" s="438">
        <f>SUM(H16+H20)</f>
        <v>475527</v>
      </c>
      <c r="I21" s="440">
        <f>(H16+H20)/H21</f>
        <v>1</v>
      </c>
      <c r="J21" s="436">
        <f>SUM(J16+J20)</f>
        <v>1372294</v>
      </c>
      <c r="K21" s="441">
        <f>(J16+J20)/J21</f>
        <v>1</v>
      </c>
      <c r="L21" s="438">
        <f>SUM(L16+L20)</f>
        <v>671464</v>
      </c>
      <c r="M21" s="439">
        <f>(L16+L20)/L21</f>
        <v>1</v>
      </c>
      <c r="N21" s="438">
        <f>SUM(N16+N20)</f>
        <v>700830</v>
      </c>
      <c r="O21" s="440">
        <f>(N16+N20)/N21</f>
        <v>1</v>
      </c>
      <c r="P21" s="436">
        <f>SUM(P16+P20)</f>
        <v>1011965.8</v>
      </c>
      <c r="Q21" s="439">
        <f>P21/$P$21</f>
        <v>1</v>
      </c>
      <c r="R21" s="438">
        <f>SUM(R16+R20)</f>
        <v>653036</v>
      </c>
      <c r="S21" s="439">
        <f>R21/$R$21</f>
        <v>1</v>
      </c>
      <c r="T21" s="438">
        <f>SUM(T16+T20)</f>
        <v>358929.8</v>
      </c>
      <c r="U21" s="440">
        <f>T21/$T$21</f>
        <v>1</v>
      </c>
    </row>
    <row r="23" spans="1:26" s="16" customFormat="1" ht="29.25" customHeight="1" thickBot="1" x14ac:dyDescent="0.4">
      <c r="A23" s="935" t="s">
        <v>1138</v>
      </c>
      <c r="B23" s="935"/>
      <c r="C23" s="935"/>
      <c r="D23" s="935"/>
      <c r="E23" s="945"/>
      <c r="F23" s="945"/>
      <c r="G23" s="945"/>
      <c r="H23" s="945"/>
      <c r="I23" s="945"/>
      <c r="J23" s="945"/>
      <c r="K23" s="945"/>
      <c r="L23" s="945"/>
    </row>
    <row r="24" spans="1:26" x14ac:dyDescent="0.3">
      <c r="A24" s="17" t="s">
        <v>192</v>
      </c>
    </row>
    <row r="26" spans="1:26" s="22" customFormat="1" ht="11.5" x14ac:dyDescent="0.25">
      <c r="A26" s="388" t="s">
        <v>1139</v>
      </c>
      <c r="B26" s="388" t="s">
        <v>548</v>
      </c>
      <c r="C26" s="388" t="s">
        <v>331</v>
      </c>
      <c r="D26" s="388" t="s">
        <v>330</v>
      </c>
    </row>
    <row r="27" spans="1:26" s="22" customFormat="1" ht="11.5" x14ac:dyDescent="0.25">
      <c r="A27" s="358" t="s">
        <v>461</v>
      </c>
      <c r="B27" s="389">
        <f>D21/Overview!C15</f>
        <v>7.7855960930012733</v>
      </c>
      <c r="C27" s="378">
        <v>9.969473809241002</v>
      </c>
      <c r="D27" s="379">
        <v>10.115493045013785</v>
      </c>
    </row>
    <row r="28" spans="1:26" s="22" customFormat="1" ht="11.5" x14ac:dyDescent="0.25">
      <c r="A28" s="358" t="s">
        <v>464</v>
      </c>
      <c r="B28" s="389">
        <f>F21/Overview!D15</f>
        <v>8.5553756266835386</v>
      </c>
      <c r="C28" s="378">
        <v>6.0728923858131933</v>
      </c>
      <c r="D28" s="379">
        <v>5.0234426390113507</v>
      </c>
    </row>
    <row r="29" spans="1:26" s="22" customFormat="1" ht="12" thickBot="1" x14ac:dyDescent="0.3">
      <c r="A29" s="396" t="s">
        <v>472</v>
      </c>
      <c r="B29" s="397">
        <f>H21/Overview!E15</f>
        <v>11.455997494519261</v>
      </c>
      <c r="C29" s="398" t="s">
        <v>11</v>
      </c>
      <c r="D29" s="399" t="s">
        <v>11</v>
      </c>
    </row>
    <row r="30" spans="1:26" s="22" customFormat="1" ht="12" thickTop="1" x14ac:dyDescent="0.25">
      <c r="A30" s="23" t="s">
        <v>471</v>
      </c>
      <c r="B30" s="391">
        <f>B21/Overview!B15</f>
        <v>8.8336067730034831</v>
      </c>
      <c r="C30" s="24">
        <f>J21/182755</f>
        <v>7.5089272523323576</v>
      </c>
      <c r="D30" s="24">
        <f>P21/136009</f>
        <v>7.4404326184296634</v>
      </c>
    </row>
    <row r="31" spans="1:26" ht="37.5" customHeight="1" x14ac:dyDescent="0.3">
      <c r="A31" s="939" t="s">
        <v>1260</v>
      </c>
      <c r="B31" s="939"/>
      <c r="C31" s="939"/>
    </row>
    <row r="33" spans="1:12" s="16" customFormat="1" ht="30" customHeight="1" thickBot="1" x14ac:dyDescent="0.4">
      <c r="A33" s="935" t="s">
        <v>1140</v>
      </c>
      <c r="B33" s="935"/>
      <c r="C33" s="935"/>
      <c r="D33" s="935"/>
      <c r="E33" s="945"/>
      <c r="F33" s="945"/>
      <c r="G33" s="945"/>
      <c r="H33" s="945"/>
      <c r="I33" s="945"/>
      <c r="J33" s="945"/>
      <c r="K33" s="945"/>
      <c r="L33" s="945"/>
    </row>
    <row r="34" spans="1:12" x14ac:dyDescent="0.3">
      <c r="A34" s="17" t="s">
        <v>945</v>
      </c>
    </row>
    <row r="35" spans="1:12" x14ac:dyDescent="0.3">
      <c r="A35" s="25"/>
    </row>
    <row r="36" spans="1:12" s="22" customFormat="1" ht="11.5" x14ac:dyDescent="0.25">
      <c r="A36" s="26" t="s">
        <v>1169</v>
      </c>
      <c r="B36" s="26" t="s">
        <v>548</v>
      </c>
      <c r="C36" s="26" t="s">
        <v>331</v>
      </c>
      <c r="D36" s="26" t="s">
        <v>330</v>
      </c>
    </row>
    <row r="37" spans="1:12" s="22" customFormat="1" ht="11.5" x14ac:dyDescent="0.25">
      <c r="A37" s="386" t="s">
        <v>461</v>
      </c>
      <c r="B37" s="382">
        <v>21668.400000000001</v>
      </c>
      <c r="C37" s="385">
        <v>35912</v>
      </c>
      <c r="D37" s="387">
        <v>35308</v>
      </c>
    </row>
    <row r="38" spans="1:12" s="22" customFormat="1" ht="11.5" x14ac:dyDescent="0.25">
      <c r="A38" s="386" t="s">
        <v>464</v>
      </c>
      <c r="B38" s="382">
        <v>50522.81</v>
      </c>
      <c r="C38" s="385">
        <v>38080</v>
      </c>
      <c r="D38" s="387">
        <v>16789</v>
      </c>
    </row>
    <row r="39" spans="1:12" s="22" customFormat="1" ht="12" thickBot="1" x14ac:dyDescent="0.3">
      <c r="A39" s="400" t="s">
        <v>472</v>
      </c>
      <c r="B39" s="401">
        <v>23380</v>
      </c>
      <c r="C39" s="398" t="s">
        <v>11</v>
      </c>
      <c r="D39" s="402" t="s">
        <v>11</v>
      </c>
    </row>
    <row r="40" spans="1:12" s="22" customFormat="1" ht="12" thickTop="1" x14ac:dyDescent="0.25">
      <c r="A40" s="392" t="s">
        <v>471</v>
      </c>
      <c r="B40" s="393">
        <f>SUBTOTAL(109,Table720[2022])</f>
        <v>95571.209999999992</v>
      </c>
      <c r="C40" s="393">
        <f>SUBTOTAL(109,Table720[2021])</f>
        <v>73992</v>
      </c>
      <c r="D40" s="394">
        <f>SUBTOTAL(109,Table720[2020])</f>
        <v>52097</v>
      </c>
      <c r="E40" s="28"/>
    </row>
    <row r="41" spans="1:12" s="22" customFormat="1" ht="38.25" customHeight="1" x14ac:dyDescent="0.25">
      <c r="A41" s="947" t="s">
        <v>1261</v>
      </c>
      <c r="B41" s="948"/>
      <c r="C41" s="948"/>
      <c r="D41" s="948"/>
      <c r="E41" s="948"/>
    </row>
    <row r="43" spans="1:12" x14ac:dyDescent="0.3">
      <c r="B43" s="31"/>
      <c r="C43" s="31"/>
      <c r="D43" s="21"/>
    </row>
    <row r="44" spans="1:12" s="16" customFormat="1" ht="30" customHeight="1" thickBot="1" x14ac:dyDescent="0.4">
      <c r="A44" s="935" t="s">
        <v>1198</v>
      </c>
      <c r="B44" s="935"/>
      <c r="C44" s="935"/>
      <c r="D44" s="935"/>
      <c r="E44" s="945"/>
      <c r="F44" s="945"/>
      <c r="G44" s="945"/>
      <c r="H44" s="945"/>
      <c r="I44" s="945"/>
      <c r="J44" s="945"/>
      <c r="K44" s="945"/>
      <c r="L44" s="945"/>
    </row>
    <row r="45" spans="1:12" x14ac:dyDescent="0.3">
      <c r="A45" s="17" t="s">
        <v>567</v>
      </c>
    </row>
    <row r="47" spans="1:12" s="22" customFormat="1" ht="11.5" x14ac:dyDescent="0.25">
      <c r="A47" s="222" t="s">
        <v>1199</v>
      </c>
      <c r="B47" s="222" t="s">
        <v>548</v>
      </c>
      <c r="C47" s="222" t="s">
        <v>331</v>
      </c>
      <c r="D47" s="222" t="s">
        <v>330</v>
      </c>
    </row>
    <row r="48" spans="1:12" s="22" customFormat="1" ht="11.5" x14ac:dyDescent="0.25">
      <c r="A48" s="381" t="s">
        <v>461</v>
      </c>
      <c r="B48" s="382">
        <v>0</v>
      </c>
      <c r="C48" s="385">
        <v>16735</v>
      </c>
      <c r="D48" s="385">
        <v>13088</v>
      </c>
    </row>
    <row r="49" spans="1:12" s="22" customFormat="1" ht="11.5" x14ac:dyDescent="0.25">
      <c r="A49" s="381" t="s">
        <v>464</v>
      </c>
      <c r="B49" s="382">
        <v>0</v>
      </c>
      <c r="C49" s="385">
        <v>13834</v>
      </c>
      <c r="D49" s="385">
        <v>10235</v>
      </c>
    </row>
    <row r="50" spans="1:12" s="22" customFormat="1" ht="12" thickBot="1" x14ac:dyDescent="0.3">
      <c r="A50" s="403" t="s">
        <v>472</v>
      </c>
      <c r="B50" s="401">
        <v>4859</v>
      </c>
      <c r="C50" s="398" t="s">
        <v>11</v>
      </c>
      <c r="D50" s="399" t="s">
        <v>11</v>
      </c>
    </row>
    <row r="51" spans="1:12" s="22" customFormat="1" ht="12" thickTop="1" x14ac:dyDescent="0.25">
      <c r="A51" s="22" t="s">
        <v>471</v>
      </c>
      <c r="B51" s="27">
        <f>SUBTOTAL(109,Table7[2022])</f>
        <v>4859</v>
      </c>
      <c r="C51" s="27">
        <f>SUBTOTAL(109,Table7[2021])</f>
        <v>30569</v>
      </c>
      <c r="D51" s="27">
        <f>SUBTOTAL(109,Table7[2020])</f>
        <v>23323</v>
      </c>
    </row>
    <row r="52" spans="1:12" ht="15.75" customHeight="1" x14ac:dyDescent="0.3"/>
    <row r="53" spans="1:12" s="16" customFormat="1" ht="30" customHeight="1" thickBot="1" x14ac:dyDescent="0.4">
      <c r="A53" s="935" t="s">
        <v>1141</v>
      </c>
      <c r="B53" s="935"/>
      <c r="C53" s="935"/>
      <c r="D53" s="935"/>
      <c r="E53" s="945"/>
      <c r="F53" s="945"/>
      <c r="G53" s="945"/>
      <c r="H53" s="945"/>
      <c r="I53" s="945"/>
      <c r="J53" s="945"/>
      <c r="K53" s="945"/>
      <c r="L53" s="945"/>
    </row>
    <row r="54" spans="1:12" x14ac:dyDescent="0.3">
      <c r="A54" s="17" t="s">
        <v>1127</v>
      </c>
    </row>
    <row r="55" spans="1:12" x14ac:dyDescent="0.3">
      <c r="A55" s="25"/>
    </row>
    <row r="56" spans="1:12" s="22" customFormat="1" ht="16.5" customHeight="1" x14ac:dyDescent="0.25">
      <c r="A56" s="380" t="s">
        <v>1170</v>
      </c>
      <c r="B56" s="380" t="s">
        <v>548</v>
      </c>
      <c r="C56" s="380" t="s">
        <v>331</v>
      </c>
      <c r="D56" s="380" t="s">
        <v>330</v>
      </c>
    </row>
    <row r="57" spans="1:12" s="22" customFormat="1" ht="11.5" x14ac:dyDescent="0.25">
      <c r="A57" s="381" t="s">
        <v>461</v>
      </c>
      <c r="B57" s="382">
        <f>B37+B48</f>
        <v>21668.400000000001</v>
      </c>
      <c r="C57" s="382">
        <f t="shared" ref="C57:D58" si="7">C37+C48</f>
        <v>52647</v>
      </c>
      <c r="D57" s="382">
        <f t="shared" si="7"/>
        <v>48396</v>
      </c>
      <c r="F57" s="27"/>
      <c r="G57" s="27"/>
    </row>
    <row r="58" spans="1:12" s="22" customFormat="1" ht="11.5" x14ac:dyDescent="0.25">
      <c r="A58" s="381" t="s">
        <v>464</v>
      </c>
      <c r="B58" s="382">
        <f>B38+B49</f>
        <v>50522.81</v>
      </c>
      <c r="C58" s="382">
        <f t="shared" si="7"/>
        <v>51914</v>
      </c>
      <c r="D58" s="382">
        <f t="shared" si="7"/>
        <v>27024</v>
      </c>
      <c r="G58" s="27"/>
      <c r="H58" s="27"/>
    </row>
    <row r="59" spans="1:12" s="22" customFormat="1" ht="12" thickBot="1" x14ac:dyDescent="0.3">
      <c r="A59" s="403" t="s">
        <v>472</v>
      </c>
      <c r="B59" s="401">
        <f>B39+B50</f>
        <v>28239</v>
      </c>
      <c r="C59" s="398" t="s">
        <v>11</v>
      </c>
      <c r="D59" s="399" t="s">
        <v>11</v>
      </c>
    </row>
    <row r="60" spans="1:12" s="22" customFormat="1" ht="12" thickTop="1" x14ac:dyDescent="0.25">
      <c r="A60" s="22" t="s">
        <v>471</v>
      </c>
      <c r="B60" s="27">
        <f>SUBTOTAL(109,Table749[2022])</f>
        <v>100430.20999999999</v>
      </c>
      <c r="C60" s="27">
        <f>SUBTOTAL(109,Table749[2021])</f>
        <v>104561</v>
      </c>
      <c r="D60" s="27">
        <f>SUBTOTAL(109,Table749[2020])</f>
        <v>75420</v>
      </c>
    </row>
    <row r="61" spans="1:12" x14ac:dyDescent="0.3">
      <c r="B61" s="21"/>
    </row>
    <row r="62" spans="1:12" s="16" customFormat="1" ht="30" customHeight="1" thickBot="1" x14ac:dyDescent="0.4">
      <c r="A62" s="935" t="s">
        <v>1142</v>
      </c>
      <c r="B62" s="935"/>
      <c r="C62" s="935"/>
      <c r="D62" s="935"/>
      <c r="E62" s="945"/>
      <c r="F62" s="945"/>
      <c r="G62" s="945"/>
      <c r="H62" s="945"/>
      <c r="I62" s="945"/>
      <c r="J62" s="945"/>
      <c r="K62" s="945"/>
      <c r="L62" s="945"/>
    </row>
    <row r="63" spans="1:12" x14ac:dyDescent="0.3">
      <c r="A63" s="17" t="s">
        <v>607</v>
      </c>
    </row>
    <row r="64" spans="1:12" x14ac:dyDescent="0.3">
      <c r="B64" s="22"/>
    </row>
    <row r="65" spans="1:12" s="22" customFormat="1" ht="12" customHeight="1" x14ac:dyDescent="0.25">
      <c r="A65" s="377" t="s">
        <v>1136</v>
      </c>
      <c r="B65" s="377" t="s">
        <v>548</v>
      </c>
      <c r="C65" s="377" t="s">
        <v>331</v>
      </c>
      <c r="D65" s="377" t="s">
        <v>330</v>
      </c>
    </row>
    <row r="66" spans="1:12" s="22" customFormat="1" ht="11.5" x14ac:dyDescent="0.25">
      <c r="A66" s="358" t="s">
        <v>461</v>
      </c>
      <c r="B66" s="378">
        <f>B57/Overview!C15</f>
        <v>0.28447046776332202</v>
      </c>
      <c r="C66" s="379">
        <v>0.78166186601734178</v>
      </c>
      <c r="D66" s="379">
        <v>0.74964435081632008</v>
      </c>
    </row>
    <row r="67" spans="1:12" s="22" customFormat="1" ht="11.5" x14ac:dyDescent="0.25">
      <c r="A67" s="358" t="s">
        <v>464</v>
      </c>
      <c r="B67" s="378">
        <f>B58/Overview!D15</f>
        <v>0.48431072000306752</v>
      </c>
      <c r="C67" s="379">
        <v>0.449841165307661</v>
      </c>
      <c r="D67" s="379">
        <v>0.37822003890778294</v>
      </c>
    </row>
    <row r="68" spans="1:12" s="22" customFormat="1" ht="12" thickBot="1" x14ac:dyDescent="0.3">
      <c r="A68" s="396" t="s">
        <v>472</v>
      </c>
      <c r="B68" s="404">
        <f>B59/Overview!E15</f>
        <v>0.6803102941530752</v>
      </c>
      <c r="C68" s="405" t="s">
        <v>11</v>
      </c>
      <c r="D68" s="405" t="s">
        <v>11</v>
      </c>
    </row>
    <row r="69" spans="1:12" s="22" customFormat="1" ht="12" thickTop="1" x14ac:dyDescent="0.25">
      <c r="A69" s="23" t="s">
        <v>471</v>
      </c>
      <c r="B69" s="395">
        <f>Table749[[#Totals],[2022]]/Overview!B15</f>
        <v>0.45239037112779784</v>
      </c>
      <c r="C69" s="27">
        <f>Table749[[#Totals],[2021]]/182755</f>
        <v>0.57213756121583537</v>
      </c>
      <c r="D69" s="27">
        <f>Table749[[#Totals],[2020]]/136009</f>
        <v>0.55452212721216976</v>
      </c>
    </row>
    <row r="70" spans="1:12" s="16" customFormat="1" ht="30" customHeight="1" thickBot="1" x14ac:dyDescent="0.4">
      <c r="A70" s="935" t="s">
        <v>906</v>
      </c>
      <c r="B70" s="935"/>
      <c r="C70" s="935"/>
      <c r="D70" s="935"/>
      <c r="E70" s="945"/>
      <c r="F70" s="945"/>
      <c r="G70" s="945"/>
      <c r="H70" s="945"/>
      <c r="I70" s="945"/>
      <c r="J70" s="945"/>
      <c r="K70" s="945"/>
      <c r="L70" s="945"/>
    </row>
    <row r="71" spans="1:12" x14ac:dyDescent="0.3">
      <c r="A71" s="17" t="s">
        <v>608</v>
      </c>
    </row>
    <row r="73" spans="1:12" s="32" customFormat="1" ht="11.5" x14ac:dyDescent="0.25">
      <c r="A73" s="364" t="s">
        <v>609</v>
      </c>
      <c r="B73" s="365"/>
      <c r="C73" s="366"/>
    </row>
    <row r="74" spans="1:12" s="22" customFormat="1" ht="25.5" customHeight="1" x14ac:dyDescent="0.25">
      <c r="A74" s="367" t="s">
        <v>610</v>
      </c>
      <c r="B74" s="368" t="s">
        <v>1166</v>
      </c>
      <c r="C74" s="369" t="s">
        <v>611</v>
      </c>
    </row>
    <row r="75" spans="1:12" s="32" customFormat="1" ht="11.5" x14ac:dyDescent="0.25">
      <c r="A75" s="370" t="s">
        <v>612</v>
      </c>
      <c r="B75" s="371">
        <f>SUM(B76:B78)</f>
        <v>100305</v>
      </c>
      <c r="C75" s="372">
        <v>0</v>
      </c>
    </row>
    <row r="76" spans="1:12" s="22" customFormat="1" ht="11.5" x14ac:dyDescent="0.25">
      <c r="A76" s="373" t="s">
        <v>568</v>
      </c>
      <c r="B76" s="374">
        <v>100305</v>
      </c>
      <c r="C76" s="375">
        <v>0</v>
      </c>
    </row>
    <row r="77" spans="1:12" s="22" customFormat="1" ht="11.5" x14ac:dyDescent="0.25">
      <c r="A77" s="373" t="s">
        <v>613</v>
      </c>
      <c r="B77" s="376">
        <v>0</v>
      </c>
      <c r="C77" s="375">
        <v>0</v>
      </c>
    </row>
    <row r="78" spans="1:12" s="22" customFormat="1" ht="11.5" x14ac:dyDescent="0.25">
      <c r="A78" s="373" t="s">
        <v>614</v>
      </c>
      <c r="B78" s="376">
        <v>0</v>
      </c>
      <c r="C78" s="375">
        <v>0</v>
      </c>
    </row>
    <row r="79" spans="1:12" s="32" customFormat="1" ht="11.5" x14ac:dyDescent="0.25">
      <c r="A79" s="370" t="s">
        <v>1200</v>
      </c>
      <c r="B79" s="376">
        <v>0</v>
      </c>
      <c r="C79" s="372">
        <f>SUM(C80:C82)</f>
        <v>26454</v>
      </c>
    </row>
    <row r="80" spans="1:12" s="22" customFormat="1" ht="11.5" x14ac:dyDescent="0.25">
      <c r="A80" s="373" t="s">
        <v>568</v>
      </c>
      <c r="B80" s="376">
        <v>0</v>
      </c>
      <c r="C80" s="375">
        <v>0</v>
      </c>
    </row>
    <row r="81" spans="1:6" s="22" customFormat="1" ht="11.5" x14ac:dyDescent="0.25">
      <c r="A81" s="373" t="s">
        <v>613</v>
      </c>
      <c r="B81" s="376">
        <v>0</v>
      </c>
      <c r="C81" s="375">
        <v>26454</v>
      </c>
    </row>
    <row r="82" spans="1:6" s="22" customFormat="1" ht="11.5" x14ac:dyDescent="0.25">
      <c r="A82" s="373" t="s">
        <v>614</v>
      </c>
      <c r="B82" s="376">
        <v>0</v>
      </c>
      <c r="C82" s="375">
        <v>0</v>
      </c>
    </row>
    <row r="83" spans="1:6" s="22" customFormat="1" ht="11.5" x14ac:dyDescent="0.25">
      <c r="A83" s="367" t="s">
        <v>615</v>
      </c>
      <c r="B83" s="368" t="s">
        <v>616</v>
      </c>
      <c r="C83" s="369" t="s">
        <v>616</v>
      </c>
    </row>
    <row r="84" spans="1:6" s="22" customFormat="1" ht="23" x14ac:dyDescent="0.25">
      <c r="A84" s="367" t="s">
        <v>617</v>
      </c>
      <c r="B84" s="368" t="s">
        <v>618</v>
      </c>
      <c r="C84" s="369" t="s">
        <v>619</v>
      </c>
    </row>
    <row r="85" spans="1:6" s="22" customFormat="1" ht="11.5" x14ac:dyDescent="0.25">
      <c r="A85" s="23"/>
      <c r="B85" s="23"/>
      <c r="C85" s="23"/>
      <c r="D85" s="33"/>
      <c r="E85" s="34"/>
      <c r="F85" s="35"/>
    </row>
  </sheetData>
  <mergeCells count="24">
    <mergeCell ref="I70:L70"/>
    <mergeCell ref="A41:E41"/>
    <mergeCell ref="A44:D44"/>
    <mergeCell ref="E44:H44"/>
    <mergeCell ref="I44:L44"/>
    <mergeCell ref="A53:D53"/>
    <mergeCell ref="E53:H53"/>
    <mergeCell ref="I53:L53"/>
    <mergeCell ref="A62:D62"/>
    <mergeCell ref="E62:H62"/>
    <mergeCell ref="I62:L62"/>
    <mergeCell ref="A70:D70"/>
    <mergeCell ref="E70:H70"/>
    <mergeCell ref="A1:D1"/>
    <mergeCell ref="E1:H1"/>
    <mergeCell ref="I1:L1"/>
    <mergeCell ref="A23:D23"/>
    <mergeCell ref="E23:H23"/>
    <mergeCell ref="I23:L23"/>
    <mergeCell ref="A33:D33"/>
    <mergeCell ref="E33:H33"/>
    <mergeCell ref="I33:L33"/>
    <mergeCell ref="A4:A5"/>
    <mergeCell ref="A31:C31"/>
  </mergeCells>
  <phoneticPr fontId="8" type="noConversion"/>
  <pageMargins left="0.7" right="0.7" top="0.75" bottom="0.75" header="0.3" footer="0.3"/>
  <pageSetup orientation="portrait" r:id="rId1"/>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3E83-A1E6-4C0C-AEA9-E10336961129}">
  <dimension ref="A1:L37"/>
  <sheetViews>
    <sheetView showGridLines="0" zoomScale="90" zoomScaleNormal="90" workbookViewId="0">
      <selection activeCell="B14" sqref="B14"/>
    </sheetView>
  </sheetViews>
  <sheetFormatPr defaultColWidth="11.453125" defaultRowHeight="14" x14ac:dyDescent="0.3"/>
  <cols>
    <col min="1" max="1" width="18.81640625" style="18" customWidth="1"/>
    <col min="2" max="2" width="44.453125" style="18" customWidth="1"/>
    <col min="3" max="3" width="35.7265625" style="18" customWidth="1"/>
    <col min="4" max="4" width="32.26953125" style="18" customWidth="1"/>
    <col min="5" max="5" width="41" style="18" customWidth="1"/>
    <col min="6" max="6" width="45.26953125" style="18" customWidth="1"/>
    <col min="7" max="7" width="47" style="18" customWidth="1"/>
    <col min="8" max="16384" width="11.453125" style="18"/>
  </cols>
  <sheetData>
    <row r="1" spans="1:12" s="16" customFormat="1" ht="30" customHeight="1" thickBot="1" x14ac:dyDescent="0.45">
      <c r="A1" s="949" t="s">
        <v>84</v>
      </c>
      <c r="B1" s="950"/>
      <c r="C1" s="950"/>
      <c r="D1" s="950"/>
      <c r="E1" s="950"/>
      <c r="F1" s="950"/>
      <c r="G1" s="950"/>
      <c r="H1" s="950"/>
      <c r="I1" s="950"/>
      <c r="J1" s="950"/>
      <c r="K1" s="950"/>
      <c r="L1" s="950"/>
    </row>
    <row r="2" spans="1:12" s="25" customFormat="1" ht="14.5" thickTop="1" x14ac:dyDescent="0.3">
      <c r="A2" s="17" t="s">
        <v>196</v>
      </c>
    </row>
    <row r="4" spans="1:12" s="23" customFormat="1" ht="34.5" x14ac:dyDescent="0.25">
      <c r="A4" s="361" t="s">
        <v>146</v>
      </c>
      <c r="B4" s="361" t="s">
        <v>907</v>
      </c>
      <c r="C4" s="361" t="s">
        <v>908</v>
      </c>
      <c r="D4" s="361" t="s">
        <v>1075</v>
      </c>
      <c r="E4" s="361" t="s">
        <v>909</v>
      </c>
      <c r="F4" s="361" t="s">
        <v>910</v>
      </c>
      <c r="G4" s="361" t="s">
        <v>911</v>
      </c>
      <c r="H4" s="22"/>
      <c r="I4" s="22"/>
      <c r="J4" s="22"/>
      <c r="K4" s="22"/>
      <c r="L4" s="22"/>
    </row>
    <row r="5" spans="1:12" s="23" customFormat="1" ht="11.5" x14ac:dyDescent="0.25">
      <c r="A5" s="358" t="s">
        <v>461</v>
      </c>
      <c r="B5" s="362" t="s">
        <v>148</v>
      </c>
      <c r="C5" s="362" t="s">
        <v>197</v>
      </c>
      <c r="D5" s="362" t="s">
        <v>148</v>
      </c>
      <c r="E5" s="362" t="s">
        <v>148</v>
      </c>
      <c r="F5" s="362" t="s">
        <v>148</v>
      </c>
      <c r="G5" s="362" t="s">
        <v>148</v>
      </c>
      <c r="H5" s="22"/>
      <c r="I5" s="22"/>
      <c r="J5" s="22"/>
      <c r="K5" s="22"/>
      <c r="L5" s="22"/>
    </row>
    <row r="6" spans="1:12" s="23" customFormat="1" ht="11.5" x14ac:dyDescent="0.25">
      <c r="A6" s="358" t="s">
        <v>464</v>
      </c>
      <c r="B6" s="362" t="s">
        <v>148</v>
      </c>
      <c r="C6" s="362" t="s">
        <v>197</v>
      </c>
      <c r="D6" s="362" t="s">
        <v>148</v>
      </c>
      <c r="E6" s="362" t="s">
        <v>148</v>
      </c>
      <c r="F6" s="362" t="s">
        <v>148</v>
      </c>
      <c r="G6" s="362" t="s">
        <v>148</v>
      </c>
      <c r="H6" s="22"/>
      <c r="I6" s="22"/>
      <c r="J6" s="22"/>
      <c r="K6" s="22"/>
      <c r="L6" s="22"/>
    </row>
    <row r="7" spans="1:12" s="23" customFormat="1" ht="11.5" x14ac:dyDescent="0.25">
      <c r="A7" s="363" t="s">
        <v>472</v>
      </c>
      <c r="B7" s="348" t="s">
        <v>166</v>
      </c>
      <c r="C7" s="348" t="s">
        <v>166</v>
      </c>
      <c r="D7" s="348" t="s">
        <v>166</v>
      </c>
      <c r="E7" s="348" t="s">
        <v>166</v>
      </c>
      <c r="F7" s="347" t="s">
        <v>148</v>
      </c>
      <c r="G7" s="348" t="s">
        <v>767</v>
      </c>
      <c r="H7" s="22"/>
      <c r="I7" s="22"/>
      <c r="J7" s="22"/>
      <c r="K7" s="22"/>
      <c r="L7" s="22"/>
    </row>
    <row r="8" spans="1:12" s="81" customFormat="1" ht="25.5" customHeight="1" x14ac:dyDescent="0.3">
      <c r="D8" s="82"/>
      <c r="E8" s="82"/>
      <c r="F8" s="83"/>
      <c r="G8" s="84"/>
      <c r="H8" s="84"/>
      <c r="I8" s="84"/>
    </row>
    <row r="9" spans="1:12" s="16" customFormat="1" ht="30" customHeight="1" thickBot="1" x14ac:dyDescent="0.45">
      <c r="A9" s="949" t="s">
        <v>86</v>
      </c>
      <c r="B9" s="950"/>
      <c r="C9" s="950"/>
      <c r="D9" s="950"/>
      <c r="E9" s="950"/>
      <c r="F9" s="950"/>
      <c r="G9" s="950"/>
      <c r="H9" s="950"/>
      <c r="I9" s="950"/>
      <c r="J9" s="950"/>
      <c r="K9" s="950"/>
      <c r="L9" s="950"/>
    </row>
    <row r="10" spans="1:12" s="25" customFormat="1" ht="14.5" thickTop="1" x14ac:dyDescent="0.3">
      <c r="A10" s="17" t="s">
        <v>198</v>
      </c>
    </row>
    <row r="12" spans="1:12" s="23" customFormat="1" ht="12.75" customHeight="1" x14ac:dyDescent="0.25">
      <c r="A12" s="144" t="s">
        <v>199</v>
      </c>
      <c r="B12" s="340" t="s">
        <v>461</v>
      </c>
      <c r="C12" s="340" t="s">
        <v>464</v>
      </c>
      <c r="D12" s="340" t="s">
        <v>472</v>
      </c>
      <c r="E12" s="30"/>
      <c r="F12" s="30"/>
      <c r="G12" s="30"/>
      <c r="H12" s="30"/>
      <c r="I12" s="30"/>
      <c r="J12" s="30"/>
      <c r="K12" s="30"/>
    </row>
    <row r="13" spans="1:12" s="23" customFormat="1" ht="22.5" customHeight="1" x14ac:dyDescent="0.25">
      <c r="A13" s="357" t="s">
        <v>112</v>
      </c>
      <c r="B13" s="354" t="s">
        <v>768</v>
      </c>
      <c r="C13" s="354" t="s">
        <v>769</v>
      </c>
      <c r="D13" s="358" t="s">
        <v>770</v>
      </c>
      <c r="E13" s="22"/>
      <c r="F13" s="22"/>
      <c r="G13" s="22"/>
      <c r="H13" s="22"/>
      <c r="I13" s="22"/>
      <c r="J13" s="22"/>
      <c r="K13" s="22"/>
    </row>
    <row r="14" spans="1:12" s="23" customFormat="1" ht="144.75" customHeight="1" x14ac:dyDescent="0.35">
      <c r="A14" s="359" t="s">
        <v>200</v>
      </c>
      <c r="B14" s="360" t="s">
        <v>771</v>
      </c>
      <c r="C14" s="360" t="s">
        <v>1266</v>
      </c>
      <c r="D14" s="360" t="s">
        <v>772</v>
      </c>
      <c r="E14" s="85"/>
      <c r="F14" s="85"/>
      <c r="G14" s="85"/>
      <c r="H14" s="85"/>
      <c r="I14" s="85"/>
      <c r="J14" s="85"/>
      <c r="K14" s="85"/>
    </row>
    <row r="16" spans="1:12" s="16" customFormat="1" ht="30" customHeight="1" thickBot="1" x14ac:dyDescent="0.45">
      <c r="A16" s="949" t="s">
        <v>88</v>
      </c>
      <c r="B16" s="950"/>
      <c r="C16" s="950"/>
      <c r="D16" s="950"/>
      <c r="E16" s="950"/>
      <c r="F16" s="950"/>
      <c r="G16" s="950"/>
      <c r="H16" s="950"/>
      <c r="I16" s="950"/>
      <c r="J16" s="950"/>
      <c r="K16" s="950"/>
      <c r="L16" s="950"/>
    </row>
    <row r="17" spans="1:12" s="25" customFormat="1" ht="14.5" thickTop="1" x14ac:dyDescent="0.3">
      <c r="A17" s="17" t="s">
        <v>201</v>
      </c>
    </row>
    <row r="19" spans="1:12" s="23" customFormat="1" ht="12.75" customHeight="1" x14ac:dyDescent="0.25">
      <c r="A19" s="350" t="s">
        <v>146</v>
      </c>
      <c r="B19" s="351" t="s">
        <v>202</v>
      </c>
      <c r="C19" s="351" t="s">
        <v>912</v>
      </c>
      <c r="D19" s="352" t="s">
        <v>203</v>
      </c>
      <c r="E19" s="35"/>
      <c r="F19" s="22"/>
      <c r="G19" s="22"/>
      <c r="H19" s="22"/>
    </row>
    <row r="20" spans="1:12" s="23" customFormat="1" ht="12.75" customHeight="1" x14ac:dyDescent="0.25">
      <c r="A20" s="353" t="s">
        <v>461</v>
      </c>
      <c r="B20" s="354" t="s">
        <v>166</v>
      </c>
      <c r="C20" s="354" t="s">
        <v>11</v>
      </c>
      <c r="D20" s="355" t="s">
        <v>11</v>
      </c>
      <c r="E20" s="35"/>
      <c r="F20" s="22"/>
      <c r="G20" s="22"/>
      <c r="H20" s="22"/>
    </row>
    <row r="21" spans="1:12" s="23" customFormat="1" ht="11.5" x14ac:dyDescent="0.25">
      <c r="A21" s="353" t="s">
        <v>464</v>
      </c>
      <c r="B21" s="354" t="s">
        <v>166</v>
      </c>
      <c r="C21" s="354" t="s">
        <v>11</v>
      </c>
      <c r="D21" s="355" t="s">
        <v>11</v>
      </c>
      <c r="E21" s="35"/>
      <c r="F21" s="22"/>
      <c r="G21" s="22"/>
      <c r="H21" s="22"/>
    </row>
    <row r="22" spans="1:12" s="23" customFormat="1" ht="106.5" customHeight="1" x14ac:dyDescent="0.25">
      <c r="A22" s="353" t="s">
        <v>472</v>
      </c>
      <c r="B22" s="354" t="s">
        <v>166</v>
      </c>
      <c r="C22" s="354" t="s">
        <v>148</v>
      </c>
      <c r="D22" s="356" t="s">
        <v>1076</v>
      </c>
      <c r="E22" s="35"/>
      <c r="F22" s="22"/>
      <c r="G22" s="22"/>
      <c r="H22" s="22"/>
    </row>
    <row r="23" spans="1:12" s="23" customFormat="1" ht="89.25" customHeight="1" x14ac:dyDescent="0.25">
      <c r="A23" s="951" t="s">
        <v>1267</v>
      </c>
      <c r="B23" s="951"/>
      <c r="C23" s="951"/>
      <c r="D23" s="951"/>
      <c r="E23" s="35"/>
      <c r="F23" s="22"/>
      <c r="G23" s="22"/>
      <c r="H23" s="22"/>
    </row>
    <row r="25" spans="1:12" s="16" customFormat="1" ht="19.5" thickBot="1" x14ac:dyDescent="0.45">
      <c r="A25" s="949" t="s">
        <v>990</v>
      </c>
      <c r="B25" s="950"/>
      <c r="C25" s="950"/>
      <c r="D25" s="950"/>
      <c r="E25" s="950"/>
      <c r="F25" s="950"/>
      <c r="G25" s="950"/>
      <c r="H25" s="950"/>
      <c r="I25" s="950"/>
      <c r="J25" s="950"/>
      <c r="K25" s="950"/>
      <c r="L25" s="950"/>
    </row>
    <row r="26" spans="1:12" s="25" customFormat="1" ht="14.5" thickTop="1" x14ac:dyDescent="0.3">
      <c r="A26" s="17" t="s">
        <v>204</v>
      </c>
    </row>
    <row r="28" spans="1:12" s="22" customFormat="1" ht="11.5" x14ac:dyDescent="0.25">
      <c r="A28" s="221" t="s">
        <v>205</v>
      </c>
      <c r="B28" s="221" t="s">
        <v>146</v>
      </c>
      <c r="C28" s="221" t="s">
        <v>194</v>
      </c>
      <c r="D28" s="221" t="s">
        <v>206</v>
      </c>
      <c r="E28" s="221" t="s">
        <v>112</v>
      </c>
      <c r="F28" s="221" t="s">
        <v>193</v>
      </c>
    </row>
    <row r="29" spans="1:12" s="22" customFormat="1" ht="11.5" x14ac:dyDescent="0.25">
      <c r="A29" s="348" t="s">
        <v>207</v>
      </c>
      <c r="B29" s="348" t="s">
        <v>461</v>
      </c>
      <c r="C29" s="348" t="s">
        <v>989</v>
      </c>
      <c r="D29" s="348" t="s">
        <v>208</v>
      </c>
      <c r="E29" s="348" t="s">
        <v>802</v>
      </c>
      <c r="F29" s="349">
        <v>2022</v>
      </c>
    </row>
    <row r="30" spans="1:12" s="22" customFormat="1" ht="28.5" customHeight="1" x14ac:dyDescent="0.25">
      <c r="A30" s="936" t="s">
        <v>1268</v>
      </c>
      <c r="B30" s="936"/>
      <c r="C30" s="936"/>
      <c r="D30" s="936"/>
      <c r="E30" s="936"/>
      <c r="F30" s="936"/>
    </row>
    <row r="31" spans="1:12" x14ac:dyDescent="0.3">
      <c r="A31" s="23"/>
      <c r="B31" s="23"/>
      <c r="C31" s="23"/>
      <c r="D31" s="23"/>
      <c r="E31" s="23"/>
      <c r="F31" s="23"/>
    </row>
    <row r="32" spans="1:12" s="14" customFormat="1" ht="30" customHeight="1" thickBot="1" x14ac:dyDescent="0.45">
      <c r="A32" s="949" t="s">
        <v>90</v>
      </c>
      <c r="B32" s="950"/>
      <c r="C32" s="950"/>
      <c r="D32" s="950"/>
      <c r="E32" s="950"/>
      <c r="F32" s="950"/>
      <c r="G32" s="950"/>
      <c r="H32" s="950"/>
      <c r="I32" s="950"/>
      <c r="J32" s="950"/>
      <c r="K32" s="950"/>
      <c r="L32" s="950"/>
    </row>
    <row r="33" spans="1:5" s="25" customFormat="1" ht="14.5" thickTop="1" x14ac:dyDescent="0.3">
      <c r="A33" s="17" t="s">
        <v>209</v>
      </c>
    </row>
    <row r="35" spans="1:5" x14ac:dyDescent="0.3">
      <c r="A35" s="333" t="s">
        <v>210</v>
      </c>
      <c r="B35" s="333" t="s">
        <v>211</v>
      </c>
      <c r="C35" s="333" t="s">
        <v>195</v>
      </c>
      <c r="D35" s="333" t="s">
        <v>212</v>
      </c>
      <c r="E35" s="333" t="s">
        <v>147</v>
      </c>
    </row>
    <row r="36" spans="1:5" s="16" customFormat="1" ht="23" x14ac:dyDescent="0.3">
      <c r="A36" s="347" t="str">
        <f>D29</f>
        <v>Land acquisition</v>
      </c>
      <c r="B36" s="347" t="s">
        <v>148</v>
      </c>
      <c r="C36" s="347" t="s">
        <v>163</v>
      </c>
      <c r="D36" s="347" t="s">
        <v>138</v>
      </c>
      <c r="E36" s="347" t="s">
        <v>213</v>
      </c>
    </row>
    <row r="37" spans="1:5" x14ac:dyDescent="0.3">
      <c r="B37" s="80"/>
      <c r="C37" s="80"/>
      <c r="D37" s="80"/>
      <c r="E37" s="80"/>
    </row>
  </sheetData>
  <mergeCells count="7">
    <mergeCell ref="A1:L1"/>
    <mergeCell ref="A9:L9"/>
    <mergeCell ref="A16:L16"/>
    <mergeCell ref="A25:L25"/>
    <mergeCell ref="A32:L32"/>
    <mergeCell ref="A30:F30"/>
    <mergeCell ref="A23:D23"/>
  </mergeCells>
  <pageMargins left="0.7" right="0.7" top="0.75" bottom="0.75" header="0.3" footer="0.3"/>
  <pageSetup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8314-1F15-4BB7-AE2F-71A90D550E25}">
  <dimension ref="A1:P93"/>
  <sheetViews>
    <sheetView showGridLines="0" zoomScale="90" zoomScaleNormal="90" workbookViewId="0">
      <selection activeCell="A88" activeCellId="3" sqref="A71:XFD77 A79:XFD81 A83:XFD85 A88:XFD92"/>
    </sheetView>
  </sheetViews>
  <sheetFormatPr defaultColWidth="11.453125" defaultRowHeight="14" x14ac:dyDescent="0.3"/>
  <cols>
    <col min="1" max="1" width="92.81640625" style="37" customWidth="1"/>
    <col min="2" max="2" width="34.7265625" style="37" customWidth="1"/>
    <col min="3" max="3" width="63.81640625" style="37" customWidth="1"/>
    <col min="4" max="4" width="63.453125" style="37" customWidth="1"/>
    <col min="5" max="5" width="50.81640625" style="37" customWidth="1"/>
    <col min="6" max="6" width="44.7265625" style="37" customWidth="1"/>
    <col min="7" max="7" width="15.81640625" style="37" customWidth="1"/>
    <col min="8" max="8" width="16.1796875" style="37" customWidth="1"/>
    <col min="9" max="9" width="15.1796875" style="37" customWidth="1"/>
    <col min="10" max="10" width="13.26953125" style="37" customWidth="1"/>
    <col min="11" max="11" width="16.26953125" style="37" customWidth="1"/>
    <col min="12" max="12" width="15.453125" style="37" customWidth="1"/>
    <col min="13" max="13" width="44.81640625" style="37" customWidth="1"/>
    <col min="14" max="14" width="13.7265625" style="37" customWidth="1"/>
    <col min="15" max="15" width="20" style="37" customWidth="1"/>
    <col min="16" max="16" width="53.453125" style="37" customWidth="1"/>
    <col min="17" max="17" width="44.26953125" style="37" customWidth="1"/>
    <col min="18" max="16384" width="11.453125" style="37"/>
  </cols>
  <sheetData>
    <row r="1" spans="1:12" s="14" customFormat="1" ht="30" customHeight="1" thickBot="1" x14ac:dyDescent="0.45">
      <c r="A1" s="935" t="s">
        <v>25</v>
      </c>
      <c r="B1" s="935"/>
      <c r="C1" s="935"/>
      <c r="D1" s="935"/>
      <c r="E1" s="935"/>
      <c r="F1" s="935"/>
      <c r="G1" s="935"/>
      <c r="H1" s="935"/>
      <c r="I1" s="935"/>
      <c r="J1" s="935"/>
      <c r="K1" s="935"/>
      <c r="L1" s="935"/>
    </row>
    <row r="2" spans="1:12" s="46" customFormat="1" x14ac:dyDescent="0.3">
      <c r="A2" s="17" t="s">
        <v>217</v>
      </c>
    </row>
    <row r="4" spans="1:12" s="18" customFormat="1" x14ac:dyDescent="0.3">
      <c r="A4" s="525" t="s">
        <v>218</v>
      </c>
      <c r="B4" s="526">
        <v>9</v>
      </c>
    </row>
    <row r="5" spans="1:12" s="18" customFormat="1" x14ac:dyDescent="0.3">
      <c r="A5" s="80" t="s">
        <v>219</v>
      </c>
      <c r="B5" s="141">
        <v>8</v>
      </c>
    </row>
    <row r="6" spans="1:12" s="18" customFormat="1" x14ac:dyDescent="0.3">
      <c r="A6" s="525" t="s">
        <v>220</v>
      </c>
      <c r="B6" s="526">
        <v>1</v>
      </c>
    </row>
    <row r="7" spans="1:12" s="18" customFormat="1" x14ac:dyDescent="0.3">
      <c r="A7" s="80" t="s">
        <v>221</v>
      </c>
      <c r="B7" s="141" t="s">
        <v>222</v>
      </c>
    </row>
    <row r="8" spans="1:12" s="18" customFormat="1" x14ac:dyDescent="0.3">
      <c r="A8" s="525" t="s">
        <v>223</v>
      </c>
      <c r="B8" s="526" t="s">
        <v>148</v>
      </c>
    </row>
    <row r="9" spans="1:12" s="18" customFormat="1" x14ac:dyDescent="0.3">
      <c r="A9" s="80" t="s">
        <v>224</v>
      </c>
      <c r="B9" s="141" t="s">
        <v>148</v>
      </c>
    </row>
    <row r="10" spans="1:12" s="18" customFormat="1" x14ac:dyDescent="0.3">
      <c r="A10" s="525" t="s">
        <v>225</v>
      </c>
      <c r="B10" s="527">
        <v>0</v>
      </c>
    </row>
    <row r="11" spans="1:12" s="18" customFormat="1" x14ac:dyDescent="0.3">
      <c r="A11" s="80" t="s">
        <v>226</v>
      </c>
      <c r="B11" s="528">
        <v>0.11</v>
      </c>
    </row>
    <row r="12" spans="1:12" s="18" customFormat="1" x14ac:dyDescent="0.3">
      <c r="A12" s="525" t="s">
        <v>227</v>
      </c>
      <c r="B12" s="527">
        <v>0.89</v>
      </c>
    </row>
    <row r="13" spans="1:12" s="18" customFormat="1" x14ac:dyDescent="0.3">
      <c r="A13" s="80" t="s">
        <v>228</v>
      </c>
      <c r="B13" s="141">
        <v>0</v>
      </c>
    </row>
    <row r="14" spans="1:12" s="18" customFormat="1" ht="57" customHeight="1" x14ac:dyDescent="0.3">
      <c r="A14" s="936" t="s">
        <v>1287</v>
      </c>
      <c r="B14" s="936"/>
    </row>
    <row r="15" spans="1:12" x14ac:dyDescent="0.3">
      <c r="A15" s="87"/>
      <c r="B15" s="41"/>
    </row>
    <row r="16" spans="1:12" s="55" customFormat="1" ht="20.149999999999999" customHeight="1" thickBot="1" x14ac:dyDescent="0.45">
      <c r="A16" s="935" t="s">
        <v>27</v>
      </c>
      <c r="B16" s="935"/>
      <c r="C16" s="935"/>
      <c r="D16" s="935"/>
      <c r="E16" s="935"/>
      <c r="F16" s="935"/>
      <c r="G16" s="935"/>
      <c r="H16" s="935"/>
      <c r="I16" s="935"/>
      <c r="J16" s="935"/>
      <c r="K16" s="935"/>
      <c r="L16" s="935"/>
    </row>
    <row r="17" spans="1:16" s="46" customFormat="1" x14ac:dyDescent="0.3">
      <c r="A17" s="17" t="s">
        <v>229</v>
      </c>
    </row>
    <row r="18" spans="1:16" x14ac:dyDescent="0.3">
      <c r="A18" s="88"/>
    </row>
    <row r="19" spans="1:16" s="73" customFormat="1" ht="23" x14ac:dyDescent="0.25">
      <c r="A19" s="149" t="s">
        <v>230</v>
      </c>
      <c r="B19" s="149" t="s">
        <v>494</v>
      </c>
      <c r="C19" s="149" t="s">
        <v>231</v>
      </c>
      <c r="D19" s="149" t="s">
        <v>913</v>
      </c>
      <c r="E19" s="149" t="s">
        <v>914</v>
      </c>
      <c r="F19" s="149" t="s">
        <v>915</v>
      </c>
      <c r="G19" s="149" t="s">
        <v>916</v>
      </c>
      <c r="H19" s="149" t="s">
        <v>232</v>
      </c>
      <c r="I19" s="149" t="s">
        <v>233</v>
      </c>
      <c r="J19" s="149" t="s">
        <v>234</v>
      </c>
      <c r="K19" s="149" t="s">
        <v>235</v>
      </c>
      <c r="L19" s="144" t="s">
        <v>917</v>
      </c>
      <c r="M19" s="144" t="s">
        <v>495</v>
      </c>
      <c r="N19" s="144" t="s">
        <v>918</v>
      </c>
      <c r="O19" s="144" t="s">
        <v>919</v>
      </c>
      <c r="P19" s="144" t="s">
        <v>496</v>
      </c>
    </row>
    <row r="20" spans="1:16" s="35" customFormat="1" ht="55.5" customHeight="1" x14ac:dyDescent="0.25">
      <c r="A20" s="368" t="s">
        <v>236</v>
      </c>
      <c r="B20" s="368" t="s">
        <v>497</v>
      </c>
      <c r="C20" s="368" t="s">
        <v>237</v>
      </c>
      <c r="D20" s="368" t="s">
        <v>238</v>
      </c>
      <c r="E20" s="368" t="s">
        <v>65</v>
      </c>
      <c r="F20" s="529" t="s">
        <v>239</v>
      </c>
      <c r="G20" s="368" t="s">
        <v>240</v>
      </c>
      <c r="H20" s="368" t="s">
        <v>148</v>
      </c>
      <c r="I20" s="368" t="s">
        <v>148</v>
      </c>
      <c r="J20" s="368" t="s">
        <v>148</v>
      </c>
      <c r="K20" s="368" t="s">
        <v>148</v>
      </c>
      <c r="L20" s="358">
        <v>2</v>
      </c>
      <c r="M20" s="358" t="s">
        <v>498</v>
      </c>
      <c r="N20" s="464">
        <v>1</v>
      </c>
      <c r="O20" s="464">
        <v>1</v>
      </c>
      <c r="P20" s="358" t="s">
        <v>499</v>
      </c>
    </row>
    <row r="21" spans="1:16" s="22" customFormat="1" ht="23" x14ac:dyDescent="0.25">
      <c r="A21" s="368" t="s">
        <v>241</v>
      </c>
      <c r="B21" s="368" t="s">
        <v>500</v>
      </c>
      <c r="C21" s="368" t="s">
        <v>242</v>
      </c>
      <c r="D21" s="368" t="s">
        <v>243</v>
      </c>
      <c r="E21" s="368" t="s">
        <v>65</v>
      </c>
      <c r="F21" s="368" t="s">
        <v>244</v>
      </c>
      <c r="G21" s="368" t="s">
        <v>240</v>
      </c>
      <c r="H21" s="368" t="s">
        <v>166</v>
      </c>
      <c r="I21" s="368" t="s">
        <v>148</v>
      </c>
      <c r="J21" s="368" t="s">
        <v>148</v>
      </c>
      <c r="K21" s="368" t="s">
        <v>148</v>
      </c>
      <c r="L21" s="358" t="s">
        <v>274</v>
      </c>
      <c r="M21" s="358" t="s">
        <v>274</v>
      </c>
      <c r="N21" s="358" t="s">
        <v>274</v>
      </c>
      <c r="O21" s="358" t="s">
        <v>274</v>
      </c>
      <c r="P21" s="358" t="s">
        <v>274</v>
      </c>
    </row>
    <row r="22" spans="1:16" s="22" customFormat="1" ht="57.5" x14ac:dyDescent="0.25">
      <c r="A22" s="368" t="s">
        <v>501</v>
      </c>
      <c r="B22" s="368" t="s">
        <v>502</v>
      </c>
      <c r="C22" s="368" t="s">
        <v>245</v>
      </c>
      <c r="D22" s="368" t="s">
        <v>245</v>
      </c>
      <c r="E22" s="368" t="s">
        <v>503</v>
      </c>
      <c r="F22" s="368" t="s">
        <v>244</v>
      </c>
      <c r="G22" s="368" t="s">
        <v>246</v>
      </c>
      <c r="H22" s="368" t="s">
        <v>166</v>
      </c>
      <c r="I22" s="368" t="s">
        <v>148</v>
      </c>
      <c r="J22" s="368" t="s">
        <v>148</v>
      </c>
      <c r="K22" s="368" t="s">
        <v>148</v>
      </c>
      <c r="L22" s="358" t="s">
        <v>274</v>
      </c>
      <c r="M22" s="358" t="s">
        <v>274</v>
      </c>
      <c r="N22" s="358" t="s">
        <v>274</v>
      </c>
      <c r="O22" s="358" t="s">
        <v>274</v>
      </c>
      <c r="P22" s="358" t="s">
        <v>274</v>
      </c>
    </row>
    <row r="23" spans="1:16" s="35" customFormat="1" ht="64.5" customHeight="1" x14ac:dyDescent="0.25">
      <c r="A23" s="368" t="s">
        <v>504</v>
      </c>
      <c r="B23" s="368" t="s">
        <v>505</v>
      </c>
      <c r="C23" s="368" t="s">
        <v>506</v>
      </c>
      <c r="D23" s="368" t="s">
        <v>507</v>
      </c>
      <c r="E23" s="368" t="s">
        <v>508</v>
      </c>
      <c r="F23" s="529" t="s">
        <v>239</v>
      </c>
      <c r="G23" s="368" t="s">
        <v>246</v>
      </c>
      <c r="H23" s="368" t="s">
        <v>166</v>
      </c>
      <c r="I23" s="368" t="s">
        <v>148</v>
      </c>
      <c r="J23" s="368" t="s">
        <v>148</v>
      </c>
      <c r="K23" s="368" t="s">
        <v>148</v>
      </c>
      <c r="L23" s="358">
        <v>12</v>
      </c>
      <c r="M23" s="358" t="s">
        <v>509</v>
      </c>
      <c r="N23" s="464">
        <v>1</v>
      </c>
      <c r="O23" s="530">
        <f>11/12</f>
        <v>0.91666666666666663</v>
      </c>
      <c r="P23" s="358" t="s">
        <v>510</v>
      </c>
    </row>
    <row r="24" spans="1:16" s="35" customFormat="1" ht="46" x14ac:dyDescent="0.25">
      <c r="A24" s="368" t="s">
        <v>1077</v>
      </c>
      <c r="B24" s="368" t="s">
        <v>511</v>
      </c>
      <c r="C24" s="368" t="s">
        <v>506</v>
      </c>
      <c r="D24" s="368" t="s">
        <v>507</v>
      </c>
      <c r="E24" s="368" t="s">
        <v>508</v>
      </c>
      <c r="F24" s="368" t="s">
        <v>512</v>
      </c>
      <c r="G24" s="368" t="s">
        <v>246</v>
      </c>
      <c r="H24" s="368" t="s">
        <v>166</v>
      </c>
      <c r="I24" s="368" t="s">
        <v>148</v>
      </c>
      <c r="J24" s="368" t="s">
        <v>148</v>
      </c>
      <c r="K24" s="368" t="s">
        <v>148</v>
      </c>
      <c r="L24" s="358" t="s">
        <v>513</v>
      </c>
      <c r="M24" s="358" t="s">
        <v>11</v>
      </c>
      <c r="N24" s="358" t="s">
        <v>11</v>
      </c>
      <c r="O24" s="358" t="s">
        <v>11</v>
      </c>
      <c r="P24" s="358" t="s">
        <v>11</v>
      </c>
    </row>
    <row r="25" spans="1:16" s="35" customFormat="1" ht="76.5" customHeight="1" x14ac:dyDescent="0.25">
      <c r="A25" s="368" t="s">
        <v>514</v>
      </c>
      <c r="B25" s="368" t="s">
        <v>515</v>
      </c>
      <c r="C25" s="368" t="s">
        <v>516</v>
      </c>
      <c r="D25" s="368" t="s">
        <v>247</v>
      </c>
      <c r="E25" s="368" t="s">
        <v>248</v>
      </c>
      <c r="F25" s="368" t="s">
        <v>244</v>
      </c>
      <c r="G25" s="368" t="s">
        <v>246</v>
      </c>
      <c r="H25" s="368" t="s">
        <v>166</v>
      </c>
      <c r="I25" s="368" t="s">
        <v>148</v>
      </c>
      <c r="J25" s="368" t="s">
        <v>148</v>
      </c>
      <c r="K25" s="368" t="s">
        <v>148</v>
      </c>
      <c r="L25" s="358">
        <v>108</v>
      </c>
      <c r="M25" s="358" t="s">
        <v>1078</v>
      </c>
      <c r="N25" s="464">
        <v>1</v>
      </c>
      <c r="O25" s="531">
        <f>79/108</f>
        <v>0.73148148148148151</v>
      </c>
      <c r="P25" s="358" t="s">
        <v>517</v>
      </c>
    </row>
    <row r="26" spans="1:16" s="35" customFormat="1" ht="57.5" x14ac:dyDescent="0.25">
      <c r="A26" s="533" t="s">
        <v>1288</v>
      </c>
      <c r="B26" s="473" t="s">
        <v>518</v>
      </c>
      <c r="C26" s="473" t="s">
        <v>519</v>
      </c>
      <c r="D26" s="473" t="s">
        <v>520</v>
      </c>
      <c r="E26" s="473" t="s">
        <v>521</v>
      </c>
      <c r="F26" s="532">
        <v>45131</v>
      </c>
      <c r="G26" s="473" t="s">
        <v>522</v>
      </c>
      <c r="H26" s="473" t="s">
        <v>148</v>
      </c>
      <c r="I26" s="473" t="s">
        <v>148</v>
      </c>
      <c r="J26" s="473" t="s">
        <v>148</v>
      </c>
      <c r="K26" s="473" t="s">
        <v>148</v>
      </c>
      <c r="L26" s="363">
        <v>4</v>
      </c>
      <c r="M26" s="363" t="s">
        <v>523</v>
      </c>
      <c r="N26" s="465">
        <v>1</v>
      </c>
      <c r="O26" s="465">
        <v>1</v>
      </c>
      <c r="P26" s="363"/>
    </row>
    <row r="28" spans="1:16" ht="20.25" customHeight="1" thickBot="1" x14ac:dyDescent="0.4">
      <c r="A28" s="935" t="s">
        <v>930</v>
      </c>
      <c r="B28" s="935"/>
      <c r="C28" s="935"/>
      <c r="D28" s="935"/>
      <c r="E28" s="935"/>
      <c r="F28" s="935"/>
      <c r="G28" s="935"/>
      <c r="H28" s="935"/>
      <c r="I28" s="935"/>
      <c r="J28" s="935"/>
      <c r="K28" s="935"/>
      <c r="L28" s="935"/>
    </row>
    <row r="29" spans="1:16" s="46" customFormat="1" x14ac:dyDescent="0.3">
      <c r="A29" s="17" t="s">
        <v>931</v>
      </c>
    </row>
    <row r="31" spans="1:16" s="60" customFormat="1" ht="11.5" x14ac:dyDescent="0.25">
      <c r="A31" s="361" t="s">
        <v>547</v>
      </c>
      <c r="B31" s="361" t="s">
        <v>922</v>
      </c>
      <c r="C31" s="361" t="s">
        <v>923</v>
      </c>
      <c r="D31" s="361" t="s">
        <v>924</v>
      </c>
      <c r="E31" s="361" t="s">
        <v>925</v>
      </c>
      <c r="F31" s="56"/>
    </row>
    <row r="32" spans="1:16" s="22" customFormat="1" ht="61.5" customHeight="1" x14ac:dyDescent="0.25">
      <c r="A32" s="497" t="s">
        <v>545</v>
      </c>
      <c r="B32" s="497">
        <v>2</v>
      </c>
      <c r="C32" s="497">
        <v>2</v>
      </c>
      <c r="D32" s="534">
        <f>Tabla3[[#This Row],[Sites Assessed ('#)]]/Tabla3[[#This Row],[Total Entities ('#)(1)]]</f>
        <v>1</v>
      </c>
      <c r="E32" s="535" t="s">
        <v>1269</v>
      </c>
      <c r="F32" s="35"/>
    </row>
    <row r="33" spans="1:12" s="22" customFormat="1" ht="11.5" x14ac:dyDescent="0.25">
      <c r="A33" s="536" t="s">
        <v>546</v>
      </c>
      <c r="B33" s="536">
        <v>1</v>
      </c>
      <c r="C33" s="536">
        <v>0</v>
      </c>
      <c r="D33" s="537">
        <f>Tabla3[[#This Row],[Sites Assessed ('#)]]/Tabla3[[#This Row],[Total Entities ('#)(1)]]</f>
        <v>0</v>
      </c>
      <c r="E33" s="538" t="s">
        <v>926</v>
      </c>
      <c r="F33" s="35"/>
    </row>
    <row r="34" spans="1:12" s="22" customFormat="1" ht="11.5" x14ac:dyDescent="0.25">
      <c r="A34" s="539" t="s">
        <v>927</v>
      </c>
      <c r="B34" s="952" t="s">
        <v>928</v>
      </c>
      <c r="C34" s="952"/>
      <c r="D34" s="952"/>
      <c r="E34" s="952"/>
    </row>
    <row r="35" spans="1:12" s="22" customFormat="1" ht="11.5" x14ac:dyDescent="0.25">
      <c r="A35" s="23"/>
      <c r="B35" s="952" t="s">
        <v>929</v>
      </c>
      <c r="C35" s="952"/>
      <c r="D35" s="952"/>
      <c r="E35" s="952"/>
    </row>
    <row r="36" spans="1:12" s="52" customFormat="1" x14ac:dyDescent="0.3">
      <c r="A36" s="51"/>
      <c r="B36" s="51"/>
      <c r="C36" s="51"/>
      <c r="D36" s="51"/>
      <c r="E36" s="51"/>
      <c r="F36" s="50"/>
    </row>
    <row r="37" spans="1:12" ht="33" customHeight="1" thickBot="1" x14ac:dyDescent="0.4">
      <c r="A37" s="935" t="s">
        <v>31</v>
      </c>
      <c r="B37" s="935"/>
      <c r="C37" s="935"/>
      <c r="D37" s="935"/>
      <c r="E37" s="935"/>
      <c r="F37" s="935"/>
      <c r="G37" s="935"/>
      <c r="H37" s="935"/>
      <c r="I37" s="935"/>
      <c r="J37" s="935"/>
      <c r="K37" s="935"/>
      <c r="L37" s="935"/>
    </row>
    <row r="38" spans="1:12" s="46" customFormat="1" x14ac:dyDescent="0.3">
      <c r="A38" s="17" t="s">
        <v>249</v>
      </c>
    </row>
    <row r="40" spans="1:12" s="59" customFormat="1" ht="23" x14ac:dyDescent="0.35">
      <c r="A40" s="144" t="s">
        <v>530</v>
      </c>
      <c r="B40" s="144" t="s">
        <v>531</v>
      </c>
      <c r="C40" s="144" t="s">
        <v>532</v>
      </c>
      <c r="D40" s="144" t="s">
        <v>533</v>
      </c>
      <c r="E40" s="144" t="s">
        <v>534</v>
      </c>
      <c r="F40" s="144" t="s">
        <v>535</v>
      </c>
    </row>
    <row r="41" spans="1:12" s="22" customFormat="1" ht="11.5" x14ac:dyDescent="0.25">
      <c r="A41" s="480" t="s">
        <v>536</v>
      </c>
      <c r="B41" s="480">
        <v>8</v>
      </c>
      <c r="C41" s="480">
        <v>8</v>
      </c>
      <c r="D41" s="559">
        <v>1</v>
      </c>
      <c r="E41" s="384">
        <v>0</v>
      </c>
      <c r="F41" s="560">
        <v>0</v>
      </c>
    </row>
    <row r="42" spans="1:12" s="540" customFormat="1" ht="11.5" x14ac:dyDescent="0.25">
      <c r="A42" s="541"/>
      <c r="B42" s="541"/>
      <c r="C42" s="541"/>
      <c r="D42" s="541"/>
    </row>
    <row r="43" spans="1:12" s="59" customFormat="1" ht="23" x14ac:dyDescent="0.35">
      <c r="A43" s="144" t="s">
        <v>537</v>
      </c>
      <c r="B43" s="144" t="s">
        <v>538</v>
      </c>
      <c r="C43" s="144" t="s">
        <v>539</v>
      </c>
      <c r="D43" s="144" t="s">
        <v>540</v>
      </c>
      <c r="E43" s="542" t="s">
        <v>541</v>
      </c>
      <c r="F43" s="144" t="s">
        <v>542</v>
      </c>
    </row>
    <row r="44" spans="1:12" s="548" customFormat="1" ht="11.5" x14ac:dyDescent="0.35">
      <c r="A44" s="543" t="s">
        <v>471</v>
      </c>
      <c r="B44" s="544">
        <f>SUM(B45:B49)</f>
        <v>1241</v>
      </c>
      <c r="C44" s="544">
        <f>SUM(C45:C49)</f>
        <v>1241</v>
      </c>
      <c r="D44" s="545">
        <f>Table129[[#This Row],[Employees that anti-corruption policies and procedures have been communicated to FY2022 ('#)]]/Table129[[#This Row],[Employees ('#)]]</f>
        <v>1</v>
      </c>
      <c r="E44" s="546">
        <v>107</v>
      </c>
      <c r="F44" s="547">
        <v>8.6220789685737306E-2</v>
      </c>
    </row>
    <row r="45" spans="1:12" s="23" customFormat="1" ht="11.5" x14ac:dyDescent="0.35">
      <c r="A45" s="561" t="s">
        <v>543</v>
      </c>
      <c r="B45" s="562">
        <v>11</v>
      </c>
      <c r="C45" s="562">
        <v>11</v>
      </c>
      <c r="D45" s="484">
        <v>1</v>
      </c>
      <c r="E45" s="563">
        <v>0</v>
      </c>
      <c r="F45" s="530">
        <v>0</v>
      </c>
    </row>
    <row r="46" spans="1:12" s="23" customFormat="1" ht="11.5" x14ac:dyDescent="0.35">
      <c r="A46" s="561" t="s">
        <v>299</v>
      </c>
      <c r="B46" s="562">
        <v>13</v>
      </c>
      <c r="C46" s="562">
        <v>13</v>
      </c>
      <c r="D46" s="564">
        <v>1</v>
      </c>
      <c r="E46" s="563">
        <v>0</v>
      </c>
      <c r="F46" s="530">
        <v>0</v>
      </c>
    </row>
    <row r="47" spans="1:12" s="23" customFormat="1" ht="11.5" x14ac:dyDescent="0.35">
      <c r="A47" s="561" t="s">
        <v>300</v>
      </c>
      <c r="B47" s="562">
        <v>43</v>
      </c>
      <c r="C47" s="562">
        <v>43</v>
      </c>
      <c r="D47" s="564">
        <v>1</v>
      </c>
      <c r="E47" s="563">
        <v>0</v>
      </c>
      <c r="F47" s="530">
        <v>0</v>
      </c>
    </row>
    <row r="48" spans="1:12" s="23" customFormat="1" ht="11.5" x14ac:dyDescent="0.35">
      <c r="A48" s="561" t="s">
        <v>544</v>
      </c>
      <c r="B48" s="562">
        <v>127</v>
      </c>
      <c r="C48" s="562">
        <v>127</v>
      </c>
      <c r="D48" s="564">
        <v>1</v>
      </c>
      <c r="E48" s="563">
        <v>0</v>
      </c>
      <c r="F48" s="530">
        <v>0</v>
      </c>
    </row>
    <row r="49" spans="1:6" s="23" customFormat="1" ht="11.5" x14ac:dyDescent="0.35">
      <c r="A49" s="561" t="s">
        <v>302</v>
      </c>
      <c r="B49" s="562">
        <v>1047</v>
      </c>
      <c r="C49" s="562">
        <v>1047</v>
      </c>
      <c r="D49" s="564">
        <v>0.99617956064947466</v>
      </c>
      <c r="E49" s="563">
        <v>107</v>
      </c>
      <c r="F49" s="530">
        <v>0.10219675262655205</v>
      </c>
    </row>
    <row r="50" spans="1:6" s="548" customFormat="1" ht="11.5" x14ac:dyDescent="0.35">
      <c r="A50" s="543" t="s">
        <v>545</v>
      </c>
      <c r="B50" s="549">
        <v>1157</v>
      </c>
      <c r="C50" s="549">
        <v>1157</v>
      </c>
      <c r="D50" s="545">
        <v>1</v>
      </c>
      <c r="E50" s="546">
        <v>107</v>
      </c>
      <c r="F50" s="547">
        <v>9.248055315471046E-2</v>
      </c>
    </row>
    <row r="51" spans="1:6" s="22" customFormat="1" ht="11.5" x14ac:dyDescent="0.25">
      <c r="A51" s="561" t="s">
        <v>543</v>
      </c>
      <c r="B51" s="565">
        <v>3</v>
      </c>
      <c r="C51" s="565">
        <v>3</v>
      </c>
      <c r="D51" s="564">
        <v>1</v>
      </c>
      <c r="E51" s="563">
        <v>0</v>
      </c>
      <c r="F51" s="566">
        <v>0</v>
      </c>
    </row>
    <row r="52" spans="1:6" s="22" customFormat="1" ht="11.5" x14ac:dyDescent="0.25">
      <c r="A52" s="561" t="s">
        <v>299</v>
      </c>
      <c r="B52" s="565">
        <v>12</v>
      </c>
      <c r="C52" s="565">
        <v>12</v>
      </c>
      <c r="D52" s="564">
        <v>1</v>
      </c>
      <c r="E52" s="563">
        <v>0</v>
      </c>
      <c r="F52" s="566">
        <v>0</v>
      </c>
    </row>
    <row r="53" spans="1:6" s="22" customFormat="1" ht="11.5" x14ac:dyDescent="0.25">
      <c r="A53" s="561" t="s">
        <v>300</v>
      </c>
      <c r="B53" s="565">
        <v>31</v>
      </c>
      <c r="C53" s="565">
        <v>31</v>
      </c>
      <c r="D53" s="564">
        <v>1</v>
      </c>
      <c r="E53" s="563">
        <v>0</v>
      </c>
      <c r="F53" s="566">
        <v>0</v>
      </c>
    </row>
    <row r="54" spans="1:6" s="22" customFormat="1" ht="11.5" x14ac:dyDescent="0.25">
      <c r="A54" s="561" t="s">
        <v>544</v>
      </c>
      <c r="B54" s="565">
        <v>116</v>
      </c>
      <c r="C54" s="565">
        <v>116</v>
      </c>
      <c r="D54" s="564">
        <v>1</v>
      </c>
      <c r="E54" s="563">
        <v>0</v>
      </c>
      <c r="F54" s="566">
        <v>0</v>
      </c>
    </row>
    <row r="55" spans="1:6" s="22" customFormat="1" ht="11.5" x14ac:dyDescent="0.25">
      <c r="A55" s="561" t="s">
        <v>302</v>
      </c>
      <c r="B55" s="565">
        <v>995</v>
      </c>
      <c r="C55" s="565">
        <v>995</v>
      </c>
      <c r="D55" s="564">
        <v>1</v>
      </c>
      <c r="E55" s="565">
        <v>107</v>
      </c>
      <c r="F55" s="566">
        <v>0.10753768844221105</v>
      </c>
    </row>
    <row r="56" spans="1:6" s="540" customFormat="1" ht="11.5" x14ac:dyDescent="0.25">
      <c r="A56" s="543" t="s">
        <v>546</v>
      </c>
      <c r="B56" s="549">
        <v>69</v>
      </c>
      <c r="C56" s="549">
        <v>69</v>
      </c>
      <c r="D56" s="545">
        <v>1</v>
      </c>
      <c r="E56" s="550">
        <v>0</v>
      </c>
      <c r="F56" s="551">
        <v>0</v>
      </c>
    </row>
    <row r="57" spans="1:6" s="22" customFormat="1" ht="11.5" x14ac:dyDescent="0.25">
      <c r="A57" s="561" t="s">
        <v>543</v>
      </c>
      <c r="B57" s="565">
        <v>3</v>
      </c>
      <c r="C57" s="565">
        <v>3</v>
      </c>
      <c r="D57" s="564">
        <v>1</v>
      </c>
      <c r="E57" s="563">
        <v>0</v>
      </c>
      <c r="F57" s="566">
        <v>0</v>
      </c>
    </row>
    <row r="58" spans="1:6" s="22" customFormat="1" ht="11.5" x14ac:dyDescent="0.25">
      <c r="A58" s="561" t="s">
        <v>299</v>
      </c>
      <c r="B58" s="565">
        <v>1</v>
      </c>
      <c r="C58" s="565">
        <v>1</v>
      </c>
      <c r="D58" s="564">
        <v>1</v>
      </c>
      <c r="E58" s="563">
        <v>0</v>
      </c>
      <c r="F58" s="566">
        <v>0</v>
      </c>
    </row>
    <row r="59" spans="1:6" s="22" customFormat="1" ht="11.5" x14ac:dyDescent="0.25">
      <c r="A59" s="561" t="s">
        <v>300</v>
      </c>
      <c r="B59" s="565">
        <v>6</v>
      </c>
      <c r="C59" s="565">
        <v>6</v>
      </c>
      <c r="D59" s="564">
        <v>1</v>
      </c>
      <c r="E59" s="563">
        <v>0</v>
      </c>
      <c r="F59" s="566">
        <v>0</v>
      </c>
    </row>
    <row r="60" spans="1:6" s="22" customFormat="1" ht="11.5" x14ac:dyDescent="0.25">
      <c r="A60" s="561" t="s">
        <v>544</v>
      </c>
      <c r="B60" s="565">
        <v>11</v>
      </c>
      <c r="C60" s="565">
        <v>11</v>
      </c>
      <c r="D60" s="564">
        <v>1</v>
      </c>
      <c r="E60" s="563">
        <v>0</v>
      </c>
      <c r="F60" s="566">
        <v>0</v>
      </c>
    </row>
    <row r="61" spans="1:6" s="22" customFormat="1" ht="11.5" x14ac:dyDescent="0.25">
      <c r="A61" s="561" t="s">
        <v>302</v>
      </c>
      <c r="B61" s="565">
        <v>48</v>
      </c>
      <c r="C61" s="565">
        <v>48</v>
      </c>
      <c r="D61" s="564">
        <v>1</v>
      </c>
      <c r="E61" s="563">
        <v>0</v>
      </c>
      <c r="F61" s="566">
        <v>0</v>
      </c>
    </row>
    <row r="62" spans="1:6" s="540" customFormat="1" ht="11.5" x14ac:dyDescent="0.25">
      <c r="A62" s="543" t="s">
        <v>566</v>
      </c>
      <c r="B62" s="544">
        <v>15</v>
      </c>
      <c r="C62" s="544">
        <v>15</v>
      </c>
      <c r="D62" s="552">
        <v>1</v>
      </c>
      <c r="E62" s="544">
        <v>0</v>
      </c>
      <c r="F62" s="551">
        <v>0</v>
      </c>
    </row>
    <row r="63" spans="1:6" s="22" customFormat="1" ht="11.5" x14ac:dyDescent="0.25">
      <c r="A63" s="561" t="s">
        <v>543</v>
      </c>
      <c r="B63" s="563">
        <v>5</v>
      </c>
      <c r="C63" s="563">
        <v>5</v>
      </c>
      <c r="D63" s="564">
        <v>1</v>
      </c>
      <c r="E63" s="563">
        <v>0</v>
      </c>
      <c r="F63" s="566">
        <v>0</v>
      </c>
    </row>
    <row r="64" spans="1:6" s="22" customFormat="1" ht="11.5" x14ac:dyDescent="0.25">
      <c r="A64" s="561" t="s">
        <v>299</v>
      </c>
      <c r="B64" s="563">
        <v>0</v>
      </c>
      <c r="C64" s="563">
        <v>0</v>
      </c>
      <c r="D64" s="564">
        <v>0</v>
      </c>
      <c r="E64" s="563">
        <v>0</v>
      </c>
      <c r="F64" s="566">
        <v>0</v>
      </c>
    </row>
    <row r="65" spans="1:6" s="22" customFormat="1" ht="11.5" x14ac:dyDescent="0.25">
      <c r="A65" s="561" t="s">
        <v>300</v>
      </c>
      <c r="B65" s="563">
        <v>6</v>
      </c>
      <c r="C65" s="563">
        <v>6</v>
      </c>
      <c r="D65" s="564">
        <v>1</v>
      </c>
      <c r="E65" s="563">
        <v>0</v>
      </c>
      <c r="F65" s="566">
        <v>0</v>
      </c>
    </row>
    <row r="66" spans="1:6" s="22" customFormat="1" ht="11.5" x14ac:dyDescent="0.25">
      <c r="A66" s="561" t="s">
        <v>544</v>
      </c>
      <c r="B66" s="563">
        <v>0</v>
      </c>
      <c r="C66" s="563">
        <v>0</v>
      </c>
      <c r="D66" s="564">
        <v>0</v>
      </c>
      <c r="E66" s="563">
        <v>0</v>
      </c>
      <c r="F66" s="566">
        <v>0</v>
      </c>
    </row>
    <row r="67" spans="1:6" s="22" customFormat="1" ht="11.5" x14ac:dyDescent="0.25">
      <c r="A67" s="567" t="s">
        <v>302</v>
      </c>
      <c r="B67" s="568">
        <v>4</v>
      </c>
      <c r="C67" s="568">
        <v>4</v>
      </c>
      <c r="D67" s="569">
        <v>0</v>
      </c>
      <c r="E67" s="568">
        <v>0</v>
      </c>
      <c r="F67" s="570">
        <v>0</v>
      </c>
    </row>
    <row r="68" spans="1:6" s="540" customFormat="1" ht="11.5" x14ac:dyDescent="0.25">
      <c r="A68" s="60"/>
      <c r="B68" s="60"/>
      <c r="C68" s="60"/>
      <c r="D68" s="60"/>
      <c r="E68" s="60"/>
      <c r="F68" s="60"/>
    </row>
    <row r="69" spans="1:6" s="58" customFormat="1" ht="11.5" x14ac:dyDescent="0.25">
      <c r="A69" s="144" t="s">
        <v>547</v>
      </c>
      <c r="B69" s="144" t="s">
        <v>548</v>
      </c>
      <c r="C69" s="144" t="s">
        <v>331</v>
      </c>
      <c r="D69" s="144" t="s">
        <v>330</v>
      </c>
    </row>
    <row r="70" spans="1:6" s="540" customFormat="1" ht="11.5" x14ac:dyDescent="0.25">
      <c r="A70" s="553" t="s">
        <v>471</v>
      </c>
      <c r="B70" s="552"/>
      <c r="C70" s="553"/>
      <c r="D70" s="554"/>
    </row>
    <row r="71" spans="1:6" s="22" customFormat="1" ht="11.5" x14ac:dyDescent="0.25">
      <c r="A71" s="478" t="s">
        <v>549</v>
      </c>
      <c r="B71" s="484">
        <v>1</v>
      </c>
      <c r="C71" s="571">
        <v>1</v>
      </c>
      <c r="D71" s="564" t="s">
        <v>293</v>
      </c>
    </row>
    <row r="72" spans="1:6" s="22" customFormat="1" ht="11.5" x14ac:dyDescent="0.25">
      <c r="A72" s="478" t="s">
        <v>550</v>
      </c>
      <c r="B72" s="484">
        <v>0</v>
      </c>
      <c r="C72" s="571">
        <v>1</v>
      </c>
      <c r="D72" s="564" t="s">
        <v>293</v>
      </c>
    </row>
    <row r="73" spans="1:6" s="22" customFormat="1" ht="11.5" x14ac:dyDescent="0.25">
      <c r="A73" s="478" t="s">
        <v>551</v>
      </c>
      <c r="B73" s="484">
        <v>1</v>
      </c>
      <c r="C73" s="571">
        <v>1</v>
      </c>
      <c r="D73" s="564" t="s">
        <v>293</v>
      </c>
    </row>
    <row r="74" spans="1:6" s="22" customFormat="1" ht="11.5" x14ac:dyDescent="0.25">
      <c r="A74" s="478" t="s">
        <v>552</v>
      </c>
      <c r="B74" s="484">
        <v>0</v>
      </c>
      <c r="C74" s="571">
        <v>0.38</v>
      </c>
      <c r="D74" s="564" t="s">
        <v>293</v>
      </c>
    </row>
    <row r="75" spans="1:6" s="22" customFormat="1" ht="11.5" x14ac:dyDescent="0.25">
      <c r="A75" s="478" t="s">
        <v>553</v>
      </c>
      <c r="B75" s="572">
        <f>D44</f>
        <v>1</v>
      </c>
      <c r="C75" s="571">
        <v>0.78</v>
      </c>
      <c r="D75" s="564">
        <v>0.19</v>
      </c>
    </row>
    <row r="76" spans="1:6" s="22" customFormat="1" ht="11.5" x14ac:dyDescent="0.25">
      <c r="A76" s="478" t="s">
        <v>554</v>
      </c>
      <c r="B76" s="564">
        <v>8.6220789685737306E-2</v>
      </c>
      <c r="C76" s="571">
        <v>0.04</v>
      </c>
      <c r="D76" s="564">
        <v>0.19</v>
      </c>
    </row>
    <row r="77" spans="1:6" s="22" customFormat="1" ht="11.5" x14ac:dyDescent="0.25">
      <c r="A77" s="478" t="s">
        <v>555</v>
      </c>
      <c r="B77" s="564">
        <v>1</v>
      </c>
      <c r="C77" s="571">
        <v>1</v>
      </c>
      <c r="D77" s="564">
        <v>1</v>
      </c>
    </row>
    <row r="78" spans="1:6" s="540" customFormat="1" ht="11.5" x14ac:dyDescent="0.25">
      <c r="A78" s="553" t="s">
        <v>545</v>
      </c>
      <c r="B78" s="545"/>
      <c r="C78" s="553"/>
      <c r="D78" s="554"/>
    </row>
    <row r="79" spans="1:6" s="22" customFormat="1" ht="11.5" x14ac:dyDescent="0.25">
      <c r="A79" s="478" t="s">
        <v>553</v>
      </c>
      <c r="B79" s="564">
        <v>1</v>
      </c>
      <c r="C79" s="571">
        <v>0.78</v>
      </c>
      <c r="D79" s="564">
        <v>0.19</v>
      </c>
    </row>
    <row r="80" spans="1:6" s="22" customFormat="1" ht="11.5" x14ac:dyDescent="0.25">
      <c r="A80" s="478" t="s">
        <v>554</v>
      </c>
      <c r="B80" s="564">
        <v>9.248055315471046E-2</v>
      </c>
      <c r="C80" s="571">
        <v>0.04</v>
      </c>
      <c r="D80" s="564">
        <v>0.19</v>
      </c>
    </row>
    <row r="81" spans="1:6" s="22" customFormat="1" ht="11.5" x14ac:dyDescent="0.25">
      <c r="A81" s="478" t="s">
        <v>555</v>
      </c>
      <c r="B81" s="564">
        <v>1</v>
      </c>
      <c r="C81" s="571">
        <v>1</v>
      </c>
      <c r="D81" s="564">
        <v>1</v>
      </c>
    </row>
    <row r="82" spans="1:6" s="540" customFormat="1" ht="11.5" x14ac:dyDescent="0.25">
      <c r="A82" s="553" t="s">
        <v>546</v>
      </c>
      <c r="B82" s="545"/>
      <c r="C82" s="553"/>
      <c r="D82" s="554"/>
    </row>
    <row r="83" spans="1:6" s="22" customFormat="1" ht="11.5" x14ac:dyDescent="0.25">
      <c r="A83" s="478" t="s">
        <v>553</v>
      </c>
      <c r="B83" s="564">
        <v>1</v>
      </c>
      <c r="C83" s="479" t="s">
        <v>11</v>
      </c>
      <c r="D83" s="564" t="s">
        <v>11</v>
      </c>
    </row>
    <row r="84" spans="1:6" s="22" customFormat="1" ht="11.5" x14ac:dyDescent="0.25">
      <c r="A84" s="478" t="s">
        <v>554</v>
      </c>
      <c r="B84" s="564">
        <v>0</v>
      </c>
      <c r="C84" s="479" t="s">
        <v>11</v>
      </c>
      <c r="D84" s="564" t="s">
        <v>11</v>
      </c>
    </row>
    <row r="85" spans="1:6" s="22" customFormat="1" ht="11.5" x14ac:dyDescent="0.25">
      <c r="A85" s="480" t="s">
        <v>555</v>
      </c>
      <c r="B85" s="569">
        <v>1</v>
      </c>
      <c r="C85" s="573" t="s">
        <v>11</v>
      </c>
      <c r="D85" s="569" t="s">
        <v>11</v>
      </c>
    </row>
    <row r="86" spans="1:6" s="540" customFormat="1" ht="11.5" x14ac:dyDescent="0.25">
      <c r="A86" s="541"/>
      <c r="B86" s="555"/>
      <c r="C86" s="555"/>
      <c r="D86" s="556"/>
    </row>
    <row r="87" spans="1:6" s="558" customFormat="1" ht="27.75" customHeight="1" x14ac:dyDescent="0.3">
      <c r="A87" s="335" t="s">
        <v>556</v>
      </c>
      <c r="B87" s="335" t="s">
        <v>920</v>
      </c>
      <c r="C87" s="144" t="s">
        <v>557</v>
      </c>
      <c r="D87" s="144" t="s">
        <v>921</v>
      </c>
      <c r="E87" s="557"/>
    </row>
    <row r="88" spans="1:6" s="576" customFormat="1" ht="12" x14ac:dyDescent="0.3">
      <c r="A88" s="478" t="s">
        <v>558</v>
      </c>
      <c r="B88" s="574">
        <v>915</v>
      </c>
      <c r="C88" s="574">
        <v>915</v>
      </c>
      <c r="D88" s="484">
        <f>Table131[[#This Row],[Active business partners that anti-corruption policies and procedures have been communicated to FY2022 ('#)]]/Table131[[#This Row],[Active business partners ('#)]]</f>
        <v>1</v>
      </c>
      <c r="E88" s="575"/>
    </row>
    <row r="89" spans="1:6" s="22" customFormat="1" ht="11.5" x14ac:dyDescent="0.25">
      <c r="A89" s="577" t="s">
        <v>559</v>
      </c>
      <c r="B89" s="574">
        <v>231</v>
      </c>
      <c r="C89" s="574">
        <v>231</v>
      </c>
      <c r="D89" s="484">
        <v>1</v>
      </c>
    </row>
    <row r="90" spans="1:6" s="22" customFormat="1" ht="11.5" x14ac:dyDescent="0.25">
      <c r="A90" s="577" t="s">
        <v>560</v>
      </c>
      <c r="B90" s="574">
        <v>3</v>
      </c>
      <c r="C90" s="574">
        <v>3</v>
      </c>
      <c r="D90" s="484">
        <v>1</v>
      </c>
    </row>
    <row r="91" spans="1:6" s="22" customFormat="1" ht="11.5" x14ac:dyDescent="0.25">
      <c r="A91" s="578" t="s">
        <v>153</v>
      </c>
      <c r="B91" s="579">
        <f>SUM(B88:B90)</f>
        <v>1149</v>
      </c>
      <c r="C91" s="579">
        <f>SUM(C88:C90)</f>
        <v>1149</v>
      </c>
      <c r="D91" s="580">
        <v>1</v>
      </c>
    </row>
    <row r="92" spans="1:6" s="576" customFormat="1" ht="80.25" customHeight="1" x14ac:dyDescent="0.3">
      <c r="A92" s="936" t="s">
        <v>1289</v>
      </c>
      <c r="B92" s="936"/>
      <c r="C92" s="936"/>
      <c r="D92" s="936"/>
      <c r="E92" s="936"/>
      <c r="F92" s="936"/>
    </row>
    <row r="93" spans="1:6" s="91" customFormat="1" ht="13" x14ac:dyDescent="0.3">
      <c r="B93" s="90"/>
      <c r="C93" s="89"/>
      <c r="D93" s="89"/>
      <c r="E93" s="90"/>
    </row>
  </sheetData>
  <mergeCells count="16">
    <mergeCell ref="A37:D37"/>
    <mergeCell ref="E37:H37"/>
    <mergeCell ref="I37:L37"/>
    <mergeCell ref="A92:F92"/>
    <mergeCell ref="B34:E34"/>
    <mergeCell ref="B35:E35"/>
    <mergeCell ref="A1:D1"/>
    <mergeCell ref="E1:H1"/>
    <mergeCell ref="I28:L28"/>
    <mergeCell ref="I1:L1"/>
    <mergeCell ref="A16:D16"/>
    <mergeCell ref="E16:H16"/>
    <mergeCell ref="I16:L16"/>
    <mergeCell ref="A28:D28"/>
    <mergeCell ref="E28:H28"/>
    <mergeCell ref="A14:B14"/>
  </mergeCells>
  <hyperlinks>
    <hyperlink ref="A26" r:id="rId1" location=":~:text=The%20U.S.%20Department%20of%20Labor's,healthful%20workplaces%20for%20U.S.%20miners." xr:uid="{F3709C72-6FC0-4AD5-B58D-627435D978F5}"/>
  </hyperlinks>
  <pageMargins left="0.7" right="0.7" top="0.75" bottom="0.75" header="0.3" footer="0.3"/>
  <pageSetup orientation="portrait" r:id="rId2"/>
  <drawing r:id="rId3"/>
  <tableParts count="7">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69E1-6C49-44C8-B729-D791D8F33933}">
  <dimension ref="A1:XFD7"/>
  <sheetViews>
    <sheetView showGridLines="0" zoomScale="90" zoomScaleNormal="90" workbookViewId="0">
      <selection activeCell="A5" sqref="A5:XFD7"/>
    </sheetView>
  </sheetViews>
  <sheetFormatPr defaultColWidth="11.453125" defaultRowHeight="14" x14ac:dyDescent="0.3"/>
  <cols>
    <col min="1" max="1" width="20.26953125" style="37" customWidth="1"/>
    <col min="2" max="2" width="32.26953125" style="37" bestFit="1" customWidth="1"/>
    <col min="3" max="3" width="19.1796875" style="37" customWidth="1"/>
    <col min="4" max="4" width="79.26953125" style="37" bestFit="1" customWidth="1"/>
    <col min="5" max="16384" width="11.453125" style="37"/>
  </cols>
  <sheetData>
    <row r="1" spans="1:16384" s="14" customFormat="1" ht="30" customHeight="1" thickBot="1" x14ac:dyDescent="0.45">
      <c r="A1" s="935" t="s">
        <v>1204</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5"/>
      <c r="CH1" s="935"/>
      <c r="CI1" s="935"/>
      <c r="CJ1" s="935"/>
      <c r="CK1" s="935"/>
      <c r="CL1" s="935"/>
      <c r="CM1" s="935"/>
      <c r="CN1" s="935"/>
      <c r="CO1" s="935"/>
      <c r="CP1" s="935"/>
      <c r="CQ1" s="935"/>
      <c r="CR1" s="935"/>
      <c r="CS1" s="935"/>
      <c r="CT1" s="935"/>
      <c r="CU1" s="935"/>
      <c r="CV1" s="935"/>
      <c r="CW1" s="935"/>
      <c r="CX1" s="935"/>
      <c r="CY1" s="935"/>
      <c r="CZ1" s="935"/>
      <c r="DA1" s="935"/>
      <c r="DB1" s="935"/>
      <c r="DC1" s="935"/>
      <c r="DD1" s="935"/>
      <c r="DE1" s="935"/>
      <c r="DF1" s="935"/>
      <c r="DG1" s="935"/>
      <c r="DH1" s="935"/>
      <c r="DI1" s="935"/>
      <c r="DJ1" s="935"/>
      <c r="DK1" s="935"/>
      <c r="DL1" s="935"/>
      <c r="DM1" s="935"/>
      <c r="DN1" s="935"/>
      <c r="DO1" s="935"/>
      <c r="DP1" s="935"/>
      <c r="DQ1" s="935"/>
      <c r="DR1" s="935"/>
      <c r="DS1" s="935"/>
      <c r="DT1" s="935"/>
      <c r="DU1" s="935"/>
      <c r="DV1" s="935"/>
      <c r="DW1" s="935"/>
      <c r="DX1" s="935"/>
      <c r="DY1" s="935"/>
      <c r="DZ1" s="935"/>
      <c r="EA1" s="935"/>
      <c r="EB1" s="935"/>
      <c r="EC1" s="935"/>
      <c r="ED1" s="935"/>
      <c r="EE1" s="935"/>
      <c r="EF1" s="935"/>
      <c r="EG1" s="935"/>
      <c r="EH1" s="935"/>
      <c r="EI1" s="935"/>
      <c r="EJ1" s="935"/>
      <c r="EK1" s="935"/>
      <c r="EL1" s="935"/>
      <c r="EM1" s="935"/>
      <c r="EN1" s="935"/>
      <c r="EO1" s="935"/>
      <c r="EP1" s="935"/>
      <c r="EQ1" s="935"/>
      <c r="ER1" s="935"/>
      <c r="ES1" s="935"/>
      <c r="ET1" s="935"/>
      <c r="EU1" s="935"/>
      <c r="EV1" s="935"/>
      <c r="EW1" s="935"/>
      <c r="EX1" s="935"/>
      <c r="EY1" s="935"/>
      <c r="EZ1" s="935"/>
      <c r="FA1" s="935"/>
      <c r="FB1" s="935"/>
      <c r="FC1" s="935"/>
      <c r="FD1" s="935"/>
      <c r="FE1" s="935"/>
      <c r="FF1" s="935"/>
      <c r="FG1" s="935"/>
      <c r="FH1" s="935"/>
      <c r="FI1" s="935"/>
      <c r="FJ1" s="935"/>
      <c r="FK1" s="935"/>
      <c r="FL1" s="935"/>
      <c r="FM1" s="935"/>
      <c r="FN1" s="935"/>
      <c r="FO1" s="935"/>
      <c r="FP1" s="935"/>
      <c r="FQ1" s="935"/>
      <c r="FR1" s="935"/>
      <c r="FS1" s="935"/>
      <c r="FT1" s="935"/>
      <c r="FU1" s="935"/>
      <c r="FV1" s="935"/>
      <c r="FW1" s="935"/>
      <c r="FX1" s="935"/>
      <c r="FY1" s="935"/>
      <c r="FZ1" s="935"/>
      <c r="GA1" s="935"/>
      <c r="GB1" s="935"/>
      <c r="GC1" s="935"/>
      <c r="GD1" s="935"/>
      <c r="GE1" s="935"/>
      <c r="GF1" s="935"/>
      <c r="GG1" s="935"/>
      <c r="GH1" s="935"/>
      <c r="GI1" s="935"/>
      <c r="GJ1" s="935"/>
      <c r="GK1" s="935"/>
      <c r="GL1" s="935"/>
      <c r="GM1" s="935"/>
      <c r="GN1" s="935"/>
      <c r="GO1" s="935"/>
      <c r="GP1" s="935"/>
      <c r="GQ1" s="935"/>
      <c r="GR1" s="935"/>
      <c r="GS1" s="935"/>
      <c r="GT1" s="935"/>
      <c r="GU1" s="935"/>
      <c r="GV1" s="935"/>
      <c r="GW1" s="935"/>
      <c r="GX1" s="935"/>
      <c r="GY1" s="935"/>
      <c r="GZ1" s="935"/>
      <c r="HA1" s="935"/>
      <c r="HB1" s="935"/>
      <c r="HC1" s="935"/>
      <c r="HD1" s="935"/>
      <c r="HE1" s="935"/>
      <c r="HF1" s="935"/>
      <c r="HG1" s="935"/>
      <c r="HH1" s="935"/>
      <c r="HI1" s="935"/>
      <c r="HJ1" s="935"/>
      <c r="HK1" s="935"/>
      <c r="HL1" s="935"/>
      <c r="HM1" s="935"/>
      <c r="HN1" s="935"/>
      <c r="HO1" s="935"/>
      <c r="HP1" s="935"/>
      <c r="HQ1" s="935"/>
      <c r="HR1" s="935"/>
      <c r="HS1" s="935"/>
      <c r="HT1" s="935"/>
      <c r="HU1" s="935"/>
      <c r="HV1" s="935"/>
      <c r="HW1" s="935"/>
      <c r="HX1" s="935"/>
      <c r="HY1" s="935"/>
      <c r="HZ1" s="935"/>
      <c r="IA1" s="935"/>
      <c r="IB1" s="935"/>
      <c r="IC1" s="935"/>
      <c r="ID1" s="935"/>
      <c r="IE1" s="935"/>
      <c r="IF1" s="935"/>
      <c r="IG1" s="935"/>
      <c r="IH1" s="935"/>
      <c r="II1" s="935"/>
      <c r="IJ1" s="935"/>
      <c r="IK1" s="935"/>
      <c r="IL1" s="935"/>
      <c r="IM1" s="935"/>
      <c r="IN1" s="935"/>
      <c r="IO1" s="935"/>
      <c r="IP1" s="935"/>
      <c r="IQ1" s="935"/>
      <c r="IR1" s="935"/>
      <c r="IS1" s="935"/>
      <c r="IT1" s="935"/>
      <c r="IU1" s="935"/>
      <c r="IV1" s="935"/>
      <c r="IW1" s="935"/>
      <c r="IX1" s="935"/>
      <c r="IY1" s="935"/>
      <c r="IZ1" s="935"/>
      <c r="JA1" s="935"/>
      <c r="JB1" s="935"/>
      <c r="JC1" s="935"/>
      <c r="JD1" s="935"/>
      <c r="JE1" s="935"/>
      <c r="JF1" s="935"/>
      <c r="JG1" s="935"/>
      <c r="JH1" s="935"/>
      <c r="JI1" s="935"/>
      <c r="JJ1" s="935"/>
      <c r="JK1" s="935"/>
      <c r="JL1" s="935"/>
      <c r="JM1" s="935"/>
      <c r="JN1" s="935"/>
      <c r="JO1" s="935"/>
      <c r="JP1" s="935"/>
      <c r="JQ1" s="935"/>
      <c r="JR1" s="935"/>
      <c r="JS1" s="935"/>
      <c r="JT1" s="935"/>
      <c r="JU1" s="935"/>
      <c r="JV1" s="935"/>
      <c r="JW1" s="935"/>
      <c r="JX1" s="935"/>
      <c r="JY1" s="935"/>
      <c r="JZ1" s="935"/>
      <c r="KA1" s="935"/>
      <c r="KB1" s="935"/>
      <c r="KC1" s="935"/>
      <c r="KD1" s="935"/>
      <c r="KE1" s="935"/>
      <c r="KF1" s="935"/>
      <c r="KG1" s="935"/>
      <c r="KH1" s="935"/>
      <c r="KI1" s="935"/>
      <c r="KJ1" s="935"/>
      <c r="KK1" s="935"/>
      <c r="KL1" s="935"/>
      <c r="KM1" s="935"/>
      <c r="KN1" s="935"/>
      <c r="KO1" s="935"/>
      <c r="KP1" s="935"/>
      <c r="KQ1" s="935"/>
      <c r="KR1" s="935"/>
      <c r="KS1" s="935"/>
      <c r="KT1" s="935"/>
      <c r="KU1" s="935"/>
      <c r="KV1" s="935"/>
      <c r="KW1" s="935"/>
      <c r="KX1" s="935"/>
      <c r="KY1" s="935"/>
      <c r="KZ1" s="935"/>
      <c r="LA1" s="935"/>
      <c r="LB1" s="935"/>
      <c r="LC1" s="935"/>
      <c r="LD1" s="935"/>
      <c r="LE1" s="935"/>
      <c r="LF1" s="935"/>
      <c r="LG1" s="935"/>
      <c r="LH1" s="935"/>
      <c r="LI1" s="935"/>
      <c r="LJ1" s="935"/>
      <c r="LK1" s="935"/>
      <c r="LL1" s="935"/>
      <c r="LM1" s="935"/>
      <c r="LN1" s="935"/>
      <c r="LO1" s="935"/>
      <c r="LP1" s="935"/>
      <c r="LQ1" s="935"/>
      <c r="LR1" s="935"/>
      <c r="LS1" s="935"/>
      <c r="LT1" s="935"/>
      <c r="LU1" s="935"/>
      <c r="LV1" s="935"/>
      <c r="LW1" s="935"/>
      <c r="LX1" s="935"/>
      <c r="LY1" s="935"/>
      <c r="LZ1" s="935"/>
      <c r="MA1" s="935"/>
      <c r="MB1" s="935"/>
      <c r="MC1" s="935"/>
      <c r="MD1" s="935"/>
      <c r="ME1" s="935"/>
      <c r="MF1" s="935"/>
      <c r="MG1" s="935"/>
      <c r="MH1" s="935"/>
      <c r="MI1" s="935"/>
      <c r="MJ1" s="935"/>
      <c r="MK1" s="935"/>
      <c r="ML1" s="935"/>
      <c r="MM1" s="935"/>
      <c r="MN1" s="935"/>
      <c r="MO1" s="935"/>
      <c r="MP1" s="935"/>
      <c r="MQ1" s="935"/>
      <c r="MR1" s="935"/>
      <c r="MS1" s="935"/>
      <c r="MT1" s="935"/>
      <c r="MU1" s="935"/>
      <c r="MV1" s="935"/>
      <c r="MW1" s="935"/>
      <c r="MX1" s="935"/>
      <c r="MY1" s="935"/>
      <c r="MZ1" s="935"/>
      <c r="NA1" s="935"/>
      <c r="NB1" s="935"/>
      <c r="NC1" s="935"/>
      <c r="ND1" s="935"/>
      <c r="NE1" s="935"/>
      <c r="NF1" s="935"/>
      <c r="NG1" s="935"/>
      <c r="NH1" s="935"/>
      <c r="NI1" s="935"/>
      <c r="NJ1" s="935"/>
      <c r="NK1" s="935"/>
      <c r="NL1" s="935"/>
      <c r="NM1" s="935"/>
      <c r="NN1" s="935"/>
      <c r="NO1" s="935"/>
      <c r="NP1" s="935"/>
      <c r="NQ1" s="935"/>
      <c r="NR1" s="935"/>
      <c r="NS1" s="935"/>
      <c r="NT1" s="935"/>
      <c r="NU1" s="935"/>
      <c r="NV1" s="935"/>
      <c r="NW1" s="935"/>
      <c r="NX1" s="935"/>
      <c r="NY1" s="935"/>
      <c r="NZ1" s="935"/>
      <c r="OA1" s="935"/>
      <c r="OB1" s="935"/>
      <c r="OC1" s="935"/>
      <c r="OD1" s="935"/>
      <c r="OE1" s="935"/>
      <c r="OF1" s="935"/>
      <c r="OG1" s="935"/>
      <c r="OH1" s="935"/>
      <c r="OI1" s="935"/>
      <c r="OJ1" s="935"/>
      <c r="OK1" s="935"/>
      <c r="OL1" s="935"/>
      <c r="OM1" s="935"/>
      <c r="ON1" s="935"/>
      <c r="OO1" s="935"/>
      <c r="OP1" s="935"/>
      <c r="OQ1" s="935"/>
      <c r="OR1" s="935"/>
      <c r="OS1" s="935"/>
      <c r="OT1" s="935"/>
      <c r="OU1" s="935"/>
      <c r="OV1" s="935"/>
      <c r="OW1" s="935"/>
      <c r="OX1" s="935"/>
      <c r="OY1" s="935"/>
      <c r="OZ1" s="935"/>
      <c r="PA1" s="935"/>
      <c r="PB1" s="935"/>
      <c r="PC1" s="935"/>
      <c r="PD1" s="935"/>
      <c r="PE1" s="935"/>
      <c r="PF1" s="935"/>
      <c r="PG1" s="935"/>
      <c r="PH1" s="935"/>
      <c r="PI1" s="935"/>
      <c r="PJ1" s="935"/>
      <c r="PK1" s="935"/>
      <c r="PL1" s="935"/>
      <c r="PM1" s="935"/>
      <c r="PN1" s="935"/>
      <c r="PO1" s="935"/>
      <c r="PP1" s="935"/>
      <c r="PQ1" s="935"/>
      <c r="PR1" s="935"/>
      <c r="PS1" s="935"/>
      <c r="PT1" s="935"/>
      <c r="PU1" s="935"/>
      <c r="PV1" s="935"/>
      <c r="PW1" s="935"/>
      <c r="PX1" s="935"/>
      <c r="PY1" s="935"/>
      <c r="PZ1" s="935"/>
      <c r="QA1" s="935"/>
      <c r="QB1" s="935"/>
      <c r="QC1" s="935"/>
      <c r="QD1" s="935"/>
      <c r="QE1" s="935"/>
      <c r="QF1" s="935"/>
      <c r="QG1" s="935"/>
      <c r="QH1" s="935"/>
      <c r="QI1" s="935"/>
      <c r="QJ1" s="935"/>
      <c r="QK1" s="935"/>
      <c r="QL1" s="935"/>
      <c r="QM1" s="935"/>
      <c r="QN1" s="935"/>
      <c r="QO1" s="935"/>
      <c r="QP1" s="935"/>
      <c r="QQ1" s="935"/>
      <c r="QR1" s="935"/>
      <c r="QS1" s="935"/>
      <c r="QT1" s="935"/>
      <c r="QU1" s="935"/>
      <c r="QV1" s="935"/>
      <c r="QW1" s="935"/>
      <c r="QX1" s="935"/>
      <c r="QY1" s="935"/>
      <c r="QZ1" s="935"/>
      <c r="RA1" s="935"/>
      <c r="RB1" s="935"/>
      <c r="RC1" s="935"/>
      <c r="RD1" s="935"/>
      <c r="RE1" s="935"/>
      <c r="RF1" s="935"/>
      <c r="RG1" s="935"/>
      <c r="RH1" s="935"/>
      <c r="RI1" s="935"/>
      <c r="RJ1" s="935"/>
      <c r="RK1" s="935"/>
      <c r="RL1" s="935"/>
      <c r="RM1" s="935"/>
      <c r="RN1" s="935"/>
      <c r="RO1" s="935"/>
      <c r="RP1" s="935"/>
      <c r="RQ1" s="935"/>
      <c r="RR1" s="935"/>
      <c r="RS1" s="935"/>
      <c r="RT1" s="935"/>
      <c r="RU1" s="935"/>
      <c r="RV1" s="935"/>
      <c r="RW1" s="935"/>
      <c r="RX1" s="935"/>
      <c r="RY1" s="935"/>
      <c r="RZ1" s="935"/>
      <c r="SA1" s="935"/>
      <c r="SB1" s="935"/>
      <c r="SC1" s="935"/>
      <c r="SD1" s="935"/>
      <c r="SE1" s="935"/>
      <c r="SF1" s="935"/>
      <c r="SG1" s="935"/>
      <c r="SH1" s="935"/>
      <c r="SI1" s="935"/>
      <c r="SJ1" s="935"/>
      <c r="SK1" s="935"/>
      <c r="SL1" s="935"/>
      <c r="SM1" s="935"/>
      <c r="SN1" s="935"/>
      <c r="SO1" s="935"/>
      <c r="SP1" s="935"/>
      <c r="SQ1" s="935"/>
      <c r="SR1" s="935"/>
      <c r="SS1" s="935"/>
      <c r="ST1" s="935"/>
      <c r="SU1" s="935"/>
      <c r="SV1" s="935"/>
      <c r="SW1" s="935"/>
      <c r="SX1" s="935"/>
      <c r="SY1" s="935"/>
      <c r="SZ1" s="935"/>
      <c r="TA1" s="935"/>
      <c r="TB1" s="935"/>
      <c r="TC1" s="935"/>
      <c r="TD1" s="935"/>
      <c r="TE1" s="935"/>
      <c r="TF1" s="935"/>
      <c r="TG1" s="935"/>
      <c r="TH1" s="935"/>
      <c r="TI1" s="935"/>
      <c r="TJ1" s="935"/>
      <c r="TK1" s="935"/>
      <c r="TL1" s="935"/>
      <c r="TM1" s="935"/>
      <c r="TN1" s="935"/>
      <c r="TO1" s="935"/>
      <c r="TP1" s="935"/>
      <c r="TQ1" s="935"/>
      <c r="TR1" s="935"/>
      <c r="TS1" s="935"/>
      <c r="TT1" s="935"/>
      <c r="TU1" s="935"/>
      <c r="TV1" s="935"/>
      <c r="TW1" s="935"/>
      <c r="TX1" s="935"/>
      <c r="TY1" s="935"/>
      <c r="TZ1" s="935"/>
      <c r="UA1" s="935"/>
      <c r="UB1" s="935"/>
      <c r="UC1" s="935"/>
      <c r="UD1" s="935"/>
      <c r="UE1" s="935"/>
      <c r="UF1" s="935"/>
      <c r="UG1" s="935"/>
      <c r="UH1" s="935"/>
      <c r="UI1" s="935"/>
      <c r="UJ1" s="935"/>
      <c r="UK1" s="935"/>
      <c r="UL1" s="935"/>
      <c r="UM1" s="935"/>
      <c r="UN1" s="935"/>
      <c r="UO1" s="935"/>
      <c r="UP1" s="935"/>
      <c r="UQ1" s="935"/>
      <c r="UR1" s="935"/>
      <c r="US1" s="935"/>
      <c r="UT1" s="935"/>
      <c r="UU1" s="935"/>
      <c r="UV1" s="935"/>
      <c r="UW1" s="935"/>
      <c r="UX1" s="935"/>
      <c r="UY1" s="935"/>
      <c r="UZ1" s="935"/>
      <c r="VA1" s="935"/>
      <c r="VB1" s="935"/>
      <c r="VC1" s="935"/>
      <c r="VD1" s="935"/>
      <c r="VE1" s="935"/>
      <c r="VF1" s="935"/>
      <c r="VG1" s="935"/>
      <c r="VH1" s="935"/>
      <c r="VI1" s="935"/>
      <c r="VJ1" s="935"/>
      <c r="VK1" s="935"/>
      <c r="VL1" s="935"/>
      <c r="VM1" s="935"/>
      <c r="VN1" s="935"/>
      <c r="VO1" s="935"/>
      <c r="VP1" s="935"/>
      <c r="VQ1" s="935"/>
      <c r="VR1" s="935"/>
      <c r="VS1" s="935"/>
      <c r="VT1" s="935"/>
      <c r="VU1" s="935"/>
      <c r="VV1" s="935"/>
      <c r="VW1" s="935"/>
      <c r="VX1" s="935"/>
      <c r="VY1" s="935"/>
      <c r="VZ1" s="935"/>
      <c r="WA1" s="935"/>
      <c r="WB1" s="935"/>
      <c r="WC1" s="935"/>
      <c r="WD1" s="935"/>
      <c r="WE1" s="935"/>
      <c r="WF1" s="935"/>
      <c r="WG1" s="935"/>
      <c r="WH1" s="935"/>
      <c r="WI1" s="935"/>
      <c r="WJ1" s="935"/>
      <c r="WK1" s="935"/>
      <c r="WL1" s="935"/>
      <c r="WM1" s="935"/>
      <c r="WN1" s="935"/>
      <c r="WO1" s="935"/>
      <c r="WP1" s="935"/>
      <c r="WQ1" s="935"/>
      <c r="WR1" s="935"/>
      <c r="WS1" s="935"/>
      <c r="WT1" s="935"/>
      <c r="WU1" s="935"/>
      <c r="WV1" s="935"/>
      <c r="WW1" s="935"/>
      <c r="WX1" s="935"/>
      <c r="WY1" s="935"/>
      <c r="WZ1" s="935"/>
      <c r="XA1" s="935"/>
      <c r="XB1" s="935"/>
      <c r="XC1" s="935"/>
      <c r="XD1" s="935"/>
      <c r="XE1" s="935"/>
      <c r="XF1" s="935"/>
      <c r="XG1" s="935"/>
      <c r="XH1" s="935"/>
      <c r="XI1" s="935"/>
      <c r="XJ1" s="935"/>
      <c r="XK1" s="935"/>
      <c r="XL1" s="935"/>
      <c r="XM1" s="935"/>
      <c r="XN1" s="935"/>
      <c r="XO1" s="935"/>
      <c r="XP1" s="935"/>
      <c r="XQ1" s="935"/>
      <c r="XR1" s="935"/>
      <c r="XS1" s="935"/>
      <c r="XT1" s="935"/>
      <c r="XU1" s="935"/>
      <c r="XV1" s="935"/>
      <c r="XW1" s="935"/>
      <c r="XX1" s="935"/>
      <c r="XY1" s="935"/>
      <c r="XZ1" s="935"/>
      <c r="YA1" s="935"/>
      <c r="YB1" s="935"/>
      <c r="YC1" s="935"/>
      <c r="YD1" s="935"/>
      <c r="YE1" s="935"/>
      <c r="YF1" s="935"/>
      <c r="YG1" s="935"/>
      <c r="YH1" s="935"/>
      <c r="YI1" s="935"/>
      <c r="YJ1" s="935"/>
      <c r="YK1" s="935"/>
      <c r="YL1" s="935"/>
      <c r="YM1" s="935"/>
      <c r="YN1" s="935"/>
      <c r="YO1" s="935"/>
      <c r="YP1" s="935"/>
      <c r="YQ1" s="935"/>
      <c r="YR1" s="935"/>
      <c r="YS1" s="935"/>
      <c r="YT1" s="935"/>
      <c r="YU1" s="935"/>
      <c r="YV1" s="935"/>
      <c r="YW1" s="935"/>
      <c r="YX1" s="935"/>
      <c r="YY1" s="935"/>
      <c r="YZ1" s="935"/>
      <c r="ZA1" s="935"/>
      <c r="ZB1" s="935"/>
      <c r="ZC1" s="935"/>
      <c r="ZD1" s="935"/>
      <c r="ZE1" s="935"/>
      <c r="ZF1" s="935"/>
      <c r="ZG1" s="935"/>
      <c r="ZH1" s="935"/>
      <c r="ZI1" s="935"/>
      <c r="ZJ1" s="935"/>
      <c r="ZK1" s="935"/>
      <c r="ZL1" s="935"/>
      <c r="ZM1" s="935"/>
      <c r="ZN1" s="935"/>
      <c r="ZO1" s="935"/>
      <c r="ZP1" s="935"/>
      <c r="ZQ1" s="935"/>
      <c r="ZR1" s="935"/>
      <c r="ZS1" s="935"/>
      <c r="ZT1" s="935"/>
      <c r="ZU1" s="935"/>
      <c r="ZV1" s="935"/>
      <c r="ZW1" s="935"/>
      <c r="ZX1" s="935"/>
      <c r="ZY1" s="935"/>
      <c r="ZZ1" s="935"/>
      <c r="AAA1" s="935"/>
      <c r="AAB1" s="935"/>
      <c r="AAC1" s="935"/>
      <c r="AAD1" s="935"/>
      <c r="AAE1" s="935"/>
      <c r="AAF1" s="935"/>
      <c r="AAG1" s="935"/>
      <c r="AAH1" s="935"/>
      <c r="AAI1" s="935"/>
      <c r="AAJ1" s="935"/>
      <c r="AAK1" s="935"/>
      <c r="AAL1" s="935"/>
      <c r="AAM1" s="935"/>
      <c r="AAN1" s="935"/>
      <c r="AAO1" s="935"/>
      <c r="AAP1" s="935"/>
      <c r="AAQ1" s="935"/>
      <c r="AAR1" s="935"/>
      <c r="AAS1" s="935"/>
      <c r="AAT1" s="935"/>
      <c r="AAU1" s="935"/>
      <c r="AAV1" s="935"/>
      <c r="AAW1" s="935"/>
      <c r="AAX1" s="935"/>
      <c r="AAY1" s="935"/>
      <c r="AAZ1" s="935"/>
      <c r="ABA1" s="935"/>
      <c r="ABB1" s="935"/>
      <c r="ABC1" s="935"/>
      <c r="ABD1" s="935"/>
      <c r="ABE1" s="935"/>
      <c r="ABF1" s="935"/>
      <c r="ABG1" s="935"/>
      <c r="ABH1" s="935"/>
      <c r="ABI1" s="935"/>
      <c r="ABJ1" s="935"/>
      <c r="ABK1" s="935"/>
      <c r="ABL1" s="935"/>
      <c r="ABM1" s="935"/>
      <c r="ABN1" s="935"/>
      <c r="ABO1" s="935"/>
      <c r="ABP1" s="935"/>
      <c r="ABQ1" s="935"/>
      <c r="ABR1" s="935"/>
      <c r="ABS1" s="935"/>
      <c r="ABT1" s="935"/>
      <c r="ABU1" s="935"/>
      <c r="ABV1" s="935"/>
      <c r="ABW1" s="935"/>
      <c r="ABX1" s="935"/>
      <c r="ABY1" s="935"/>
      <c r="ABZ1" s="935"/>
      <c r="ACA1" s="935"/>
      <c r="ACB1" s="935"/>
      <c r="ACC1" s="935"/>
      <c r="ACD1" s="935"/>
      <c r="ACE1" s="935"/>
      <c r="ACF1" s="935"/>
      <c r="ACG1" s="935"/>
      <c r="ACH1" s="935"/>
      <c r="ACI1" s="935"/>
      <c r="ACJ1" s="935"/>
      <c r="ACK1" s="935"/>
      <c r="ACL1" s="935"/>
      <c r="ACM1" s="935"/>
      <c r="ACN1" s="935"/>
      <c r="ACO1" s="935"/>
      <c r="ACP1" s="935"/>
      <c r="ACQ1" s="935"/>
      <c r="ACR1" s="935"/>
      <c r="ACS1" s="935"/>
      <c r="ACT1" s="935"/>
      <c r="ACU1" s="935"/>
      <c r="ACV1" s="935"/>
      <c r="ACW1" s="935"/>
      <c r="ACX1" s="935"/>
      <c r="ACY1" s="935"/>
      <c r="ACZ1" s="935"/>
      <c r="ADA1" s="935"/>
      <c r="ADB1" s="935"/>
      <c r="ADC1" s="935"/>
      <c r="ADD1" s="935"/>
      <c r="ADE1" s="935"/>
      <c r="ADF1" s="935"/>
      <c r="ADG1" s="935"/>
      <c r="ADH1" s="935"/>
      <c r="ADI1" s="935"/>
      <c r="ADJ1" s="935"/>
      <c r="ADK1" s="935"/>
      <c r="ADL1" s="935"/>
      <c r="ADM1" s="935"/>
      <c r="ADN1" s="935"/>
      <c r="ADO1" s="935"/>
      <c r="ADP1" s="935"/>
      <c r="ADQ1" s="935"/>
      <c r="ADR1" s="935"/>
      <c r="ADS1" s="935"/>
      <c r="ADT1" s="935"/>
      <c r="ADU1" s="935"/>
      <c r="ADV1" s="935"/>
      <c r="ADW1" s="935"/>
      <c r="ADX1" s="935"/>
      <c r="ADY1" s="935"/>
      <c r="ADZ1" s="935"/>
      <c r="AEA1" s="935"/>
      <c r="AEB1" s="935"/>
      <c r="AEC1" s="935"/>
      <c r="AED1" s="935"/>
      <c r="AEE1" s="935"/>
      <c r="AEF1" s="935"/>
      <c r="AEG1" s="935"/>
      <c r="AEH1" s="935"/>
      <c r="AEI1" s="935"/>
      <c r="AEJ1" s="935"/>
      <c r="AEK1" s="935"/>
      <c r="AEL1" s="935"/>
      <c r="AEM1" s="935"/>
      <c r="AEN1" s="935"/>
      <c r="AEO1" s="935"/>
      <c r="AEP1" s="935"/>
      <c r="AEQ1" s="935"/>
      <c r="AER1" s="935"/>
      <c r="AES1" s="935"/>
      <c r="AET1" s="935"/>
      <c r="AEU1" s="935"/>
      <c r="AEV1" s="935"/>
      <c r="AEW1" s="935"/>
      <c r="AEX1" s="935"/>
      <c r="AEY1" s="935"/>
      <c r="AEZ1" s="935"/>
      <c r="AFA1" s="935"/>
      <c r="AFB1" s="935"/>
      <c r="AFC1" s="935"/>
      <c r="AFD1" s="935"/>
      <c r="AFE1" s="935"/>
      <c r="AFF1" s="935"/>
      <c r="AFG1" s="935"/>
      <c r="AFH1" s="935"/>
      <c r="AFI1" s="935"/>
      <c r="AFJ1" s="935"/>
      <c r="AFK1" s="935"/>
      <c r="AFL1" s="935"/>
      <c r="AFM1" s="935"/>
      <c r="AFN1" s="935"/>
      <c r="AFO1" s="935"/>
      <c r="AFP1" s="935"/>
      <c r="AFQ1" s="935"/>
      <c r="AFR1" s="935"/>
      <c r="AFS1" s="935"/>
      <c r="AFT1" s="935"/>
      <c r="AFU1" s="935"/>
      <c r="AFV1" s="935"/>
      <c r="AFW1" s="935"/>
      <c r="AFX1" s="935"/>
      <c r="AFY1" s="935"/>
      <c r="AFZ1" s="935"/>
      <c r="AGA1" s="935"/>
      <c r="AGB1" s="935"/>
      <c r="AGC1" s="935"/>
      <c r="AGD1" s="935"/>
      <c r="AGE1" s="935"/>
      <c r="AGF1" s="935"/>
      <c r="AGG1" s="935"/>
      <c r="AGH1" s="935"/>
      <c r="AGI1" s="935"/>
      <c r="AGJ1" s="935"/>
      <c r="AGK1" s="935"/>
      <c r="AGL1" s="935"/>
      <c r="AGM1" s="935"/>
      <c r="AGN1" s="935"/>
      <c r="AGO1" s="935"/>
      <c r="AGP1" s="935"/>
      <c r="AGQ1" s="935"/>
      <c r="AGR1" s="935"/>
      <c r="AGS1" s="935"/>
      <c r="AGT1" s="935"/>
      <c r="AGU1" s="935"/>
      <c r="AGV1" s="935"/>
      <c r="AGW1" s="935"/>
      <c r="AGX1" s="935"/>
      <c r="AGY1" s="935"/>
      <c r="AGZ1" s="935"/>
      <c r="AHA1" s="935"/>
      <c r="AHB1" s="935"/>
      <c r="AHC1" s="935"/>
      <c r="AHD1" s="935"/>
      <c r="AHE1" s="935"/>
      <c r="AHF1" s="935"/>
      <c r="AHG1" s="935"/>
      <c r="AHH1" s="935"/>
      <c r="AHI1" s="935"/>
      <c r="AHJ1" s="935"/>
      <c r="AHK1" s="935"/>
      <c r="AHL1" s="935"/>
      <c r="AHM1" s="935"/>
      <c r="AHN1" s="935"/>
      <c r="AHO1" s="935"/>
      <c r="AHP1" s="935"/>
      <c r="AHQ1" s="935"/>
      <c r="AHR1" s="935"/>
      <c r="AHS1" s="935"/>
      <c r="AHT1" s="935"/>
      <c r="AHU1" s="935"/>
      <c r="AHV1" s="935"/>
      <c r="AHW1" s="935"/>
      <c r="AHX1" s="935"/>
      <c r="AHY1" s="935"/>
      <c r="AHZ1" s="935"/>
      <c r="AIA1" s="935"/>
      <c r="AIB1" s="935"/>
      <c r="AIC1" s="935"/>
      <c r="AID1" s="935"/>
      <c r="AIE1" s="935"/>
      <c r="AIF1" s="935"/>
      <c r="AIG1" s="935"/>
      <c r="AIH1" s="935"/>
      <c r="AII1" s="935"/>
      <c r="AIJ1" s="935"/>
      <c r="AIK1" s="935"/>
      <c r="AIL1" s="935"/>
      <c r="AIM1" s="935"/>
      <c r="AIN1" s="935"/>
      <c r="AIO1" s="935"/>
      <c r="AIP1" s="935"/>
      <c r="AIQ1" s="935"/>
      <c r="AIR1" s="935"/>
      <c r="AIS1" s="935"/>
      <c r="AIT1" s="935"/>
      <c r="AIU1" s="935"/>
      <c r="AIV1" s="935"/>
      <c r="AIW1" s="935"/>
      <c r="AIX1" s="935"/>
      <c r="AIY1" s="935"/>
      <c r="AIZ1" s="935"/>
      <c r="AJA1" s="935"/>
      <c r="AJB1" s="935"/>
      <c r="AJC1" s="935"/>
      <c r="AJD1" s="935"/>
      <c r="AJE1" s="935"/>
      <c r="AJF1" s="935"/>
      <c r="AJG1" s="935"/>
      <c r="AJH1" s="935"/>
      <c r="AJI1" s="935"/>
      <c r="AJJ1" s="935"/>
      <c r="AJK1" s="935"/>
      <c r="AJL1" s="935"/>
      <c r="AJM1" s="935"/>
      <c r="AJN1" s="935"/>
      <c r="AJO1" s="935"/>
      <c r="AJP1" s="935"/>
      <c r="AJQ1" s="935"/>
      <c r="AJR1" s="935"/>
      <c r="AJS1" s="935"/>
      <c r="AJT1" s="935"/>
      <c r="AJU1" s="935"/>
      <c r="AJV1" s="935"/>
      <c r="AJW1" s="935"/>
      <c r="AJX1" s="935"/>
      <c r="AJY1" s="935"/>
      <c r="AJZ1" s="935"/>
      <c r="AKA1" s="935"/>
      <c r="AKB1" s="935"/>
      <c r="AKC1" s="935"/>
      <c r="AKD1" s="935"/>
      <c r="AKE1" s="935"/>
      <c r="AKF1" s="935"/>
      <c r="AKG1" s="935"/>
      <c r="AKH1" s="935"/>
      <c r="AKI1" s="935"/>
      <c r="AKJ1" s="935"/>
      <c r="AKK1" s="935"/>
      <c r="AKL1" s="935"/>
      <c r="AKM1" s="935"/>
      <c r="AKN1" s="935"/>
      <c r="AKO1" s="935"/>
      <c r="AKP1" s="935"/>
      <c r="AKQ1" s="935"/>
      <c r="AKR1" s="935"/>
      <c r="AKS1" s="935"/>
      <c r="AKT1" s="935"/>
      <c r="AKU1" s="935"/>
      <c r="AKV1" s="935"/>
      <c r="AKW1" s="935"/>
      <c r="AKX1" s="935"/>
      <c r="AKY1" s="935"/>
      <c r="AKZ1" s="935"/>
      <c r="ALA1" s="935"/>
      <c r="ALB1" s="935"/>
      <c r="ALC1" s="935"/>
      <c r="ALD1" s="935"/>
      <c r="ALE1" s="935"/>
      <c r="ALF1" s="935"/>
      <c r="ALG1" s="935"/>
      <c r="ALH1" s="935"/>
      <c r="ALI1" s="935"/>
      <c r="ALJ1" s="935"/>
      <c r="ALK1" s="935"/>
      <c r="ALL1" s="935"/>
      <c r="ALM1" s="935"/>
      <c r="ALN1" s="935"/>
      <c r="ALO1" s="935"/>
      <c r="ALP1" s="935"/>
      <c r="ALQ1" s="935"/>
      <c r="ALR1" s="935"/>
      <c r="ALS1" s="935"/>
      <c r="ALT1" s="935"/>
      <c r="ALU1" s="935"/>
      <c r="ALV1" s="935"/>
      <c r="ALW1" s="935"/>
      <c r="ALX1" s="935"/>
      <c r="ALY1" s="935"/>
      <c r="ALZ1" s="935"/>
      <c r="AMA1" s="935"/>
      <c r="AMB1" s="935"/>
      <c r="AMC1" s="935"/>
      <c r="AMD1" s="935"/>
      <c r="AME1" s="935"/>
      <c r="AMF1" s="935"/>
      <c r="AMG1" s="935"/>
      <c r="AMH1" s="935"/>
      <c r="AMI1" s="935"/>
      <c r="AMJ1" s="935"/>
      <c r="AMK1" s="935"/>
      <c r="AML1" s="935"/>
      <c r="AMM1" s="935"/>
      <c r="AMN1" s="935"/>
      <c r="AMO1" s="935"/>
      <c r="AMP1" s="935"/>
      <c r="AMQ1" s="935"/>
      <c r="AMR1" s="935"/>
      <c r="AMS1" s="935"/>
      <c r="AMT1" s="935"/>
      <c r="AMU1" s="935"/>
      <c r="AMV1" s="935"/>
      <c r="AMW1" s="935"/>
      <c r="AMX1" s="935"/>
      <c r="AMY1" s="935"/>
      <c r="AMZ1" s="935"/>
      <c r="ANA1" s="935"/>
      <c r="ANB1" s="935"/>
      <c r="ANC1" s="935"/>
      <c r="AND1" s="935"/>
      <c r="ANE1" s="935"/>
      <c r="ANF1" s="935"/>
      <c r="ANG1" s="935"/>
      <c r="ANH1" s="935"/>
      <c r="ANI1" s="935"/>
      <c r="ANJ1" s="935"/>
      <c r="ANK1" s="935"/>
      <c r="ANL1" s="935"/>
      <c r="ANM1" s="935"/>
      <c r="ANN1" s="935"/>
      <c r="ANO1" s="935"/>
      <c r="ANP1" s="935"/>
      <c r="ANQ1" s="935"/>
      <c r="ANR1" s="935"/>
      <c r="ANS1" s="935"/>
      <c r="ANT1" s="935"/>
      <c r="ANU1" s="935"/>
      <c r="ANV1" s="935"/>
      <c r="ANW1" s="935"/>
      <c r="ANX1" s="935"/>
      <c r="ANY1" s="935"/>
      <c r="ANZ1" s="935"/>
      <c r="AOA1" s="935"/>
      <c r="AOB1" s="935"/>
      <c r="AOC1" s="935"/>
      <c r="AOD1" s="935"/>
      <c r="AOE1" s="935"/>
      <c r="AOF1" s="935"/>
      <c r="AOG1" s="935"/>
      <c r="AOH1" s="935"/>
      <c r="AOI1" s="935"/>
      <c r="AOJ1" s="935"/>
      <c r="AOK1" s="935"/>
      <c r="AOL1" s="935"/>
      <c r="AOM1" s="935"/>
      <c r="AON1" s="935"/>
      <c r="AOO1" s="935"/>
      <c r="AOP1" s="935"/>
      <c r="AOQ1" s="935"/>
      <c r="AOR1" s="935"/>
      <c r="AOS1" s="935"/>
      <c r="AOT1" s="935"/>
      <c r="AOU1" s="935"/>
      <c r="AOV1" s="935"/>
      <c r="AOW1" s="935"/>
      <c r="AOX1" s="935"/>
      <c r="AOY1" s="935"/>
      <c r="AOZ1" s="935"/>
      <c r="APA1" s="935"/>
      <c r="APB1" s="935"/>
      <c r="APC1" s="935"/>
      <c r="APD1" s="935"/>
      <c r="APE1" s="935"/>
      <c r="APF1" s="935"/>
      <c r="APG1" s="935"/>
      <c r="APH1" s="935"/>
      <c r="API1" s="935"/>
      <c r="APJ1" s="935"/>
      <c r="APK1" s="935"/>
      <c r="APL1" s="935"/>
      <c r="APM1" s="935"/>
      <c r="APN1" s="935"/>
      <c r="APO1" s="935"/>
      <c r="APP1" s="935"/>
      <c r="APQ1" s="935"/>
      <c r="APR1" s="935"/>
      <c r="APS1" s="935"/>
      <c r="APT1" s="935"/>
      <c r="APU1" s="935"/>
      <c r="APV1" s="935"/>
      <c r="APW1" s="935"/>
      <c r="APX1" s="935"/>
      <c r="APY1" s="935"/>
      <c r="APZ1" s="935"/>
      <c r="AQA1" s="935"/>
      <c r="AQB1" s="935"/>
      <c r="AQC1" s="935"/>
      <c r="AQD1" s="935"/>
      <c r="AQE1" s="935"/>
      <c r="AQF1" s="935"/>
      <c r="AQG1" s="935"/>
      <c r="AQH1" s="935"/>
      <c r="AQI1" s="935"/>
      <c r="AQJ1" s="935"/>
      <c r="AQK1" s="935"/>
      <c r="AQL1" s="935"/>
      <c r="AQM1" s="935"/>
      <c r="AQN1" s="935"/>
      <c r="AQO1" s="935"/>
      <c r="AQP1" s="935"/>
      <c r="AQQ1" s="935"/>
      <c r="AQR1" s="935"/>
      <c r="AQS1" s="935"/>
      <c r="AQT1" s="935"/>
      <c r="AQU1" s="935"/>
      <c r="AQV1" s="935"/>
      <c r="AQW1" s="935"/>
      <c r="AQX1" s="935"/>
      <c r="AQY1" s="935"/>
      <c r="AQZ1" s="935"/>
      <c r="ARA1" s="935"/>
      <c r="ARB1" s="935"/>
      <c r="ARC1" s="935"/>
      <c r="ARD1" s="935"/>
      <c r="ARE1" s="935"/>
      <c r="ARF1" s="935"/>
      <c r="ARG1" s="935"/>
      <c r="ARH1" s="935"/>
      <c r="ARI1" s="935"/>
      <c r="ARJ1" s="935"/>
      <c r="ARK1" s="935"/>
      <c r="ARL1" s="935"/>
      <c r="ARM1" s="935"/>
      <c r="ARN1" s="935"/>
      <c r="ARO1" s="935"/>
      <c r="ARP1" s="935"/>
      <c r="ARQ1" s="935"/>
      <c r="ARR1" s="935"/>
      <c r="ARS1" s="935"/>
      <c r="ART1" s="935"/>
      <c r="ARU1" s="935"/>
      <c r="ARV1" s="935"/>
      <c r="ARW1" s="935"/>
      <c r="ARX1" s="935"/>
      <c r="ARY1" s="935"/>
      <c r="ARZ1" s="935"/>
      <c r="ASA1" s="935"/>
      <c r="ASB1" s="935"/>
      <c r="ASC1" s="935"/>
      <c r="ASD1" s="935"/>
      <c r="ASE1" s="935"/>
      <c r="ASF1" s="935"/>
      <c r="ASG1" s="935"/>
      <c r="ASH1" s="935"/>
      <c r="ASI1" s="935"/>
      <c r="ASJ1" s="935"/>
      <c r="ASK1" s="935"/>
      <c r="ASL1" s="935"/>
      <c r="ASM1" s="935"/>
      <c r="ASN1" s="935"/>
      <c r="ASO1" s="935"/>
      <c r="ASP1" s="935"/>
      <c r="ASQ1" s="935"/>
      <c r="ASR1" s="935"/>
      <c r="ASS1" s="935"/>
      <c r="AST1" s="935"/>
      <c r="ASU1" s="935"/>
      <c r="ASV1" s="935"/>
      <c r="ASW1" s="935"/>
      <c r="ASX1" s="935"/>
      <c r="ASY1" s="935"/>
      <c r="ASZ1" s="935"/>
      <c r="ATA1" s="935"/>
      <c r="ATB1" s="935"/>
      <c r="ATC1" s="935"/>
      <c r="ATD1" s="935"/>
      <c r="ATE1" s="935"/>
      <c r="ATF1" s="935"/>
      <c r="ATG1" s="935"/>
      <c r="ATH1" s="935"/>
      <c r="ATI1" s="935"/>
      <c r="ATJ1" s="935"/>
      <c r="ATK1" s="935"/>
      <c r="ATL1" s="935"/>
      <c r="ATM1" s="935"/>
      <c r="ATN1" s="935"/>
      <c r="ATO1" s="935"/>
      <c r="ATP1" s="935"/>
      <c r="ATQ1" s="935"/>
      <c r="ATR1" s="935"/>
      <c r="ATS1" s="935"/>
      <c r="ATT1" s="935"/>
      <c r="ATU1" s="935"/>
      <c r="ATV1" s="935"/>
      <c r="ATW1" s="935"/>
      <c r="ATX1" s="935"/>
      <c r="ATY1" s="935"/>
      <c r="ATZ1" s="935"/>
      <c r="AUA1" s="935"/>
      <c r="AUB1" s="935"/>
      <c r="AUC1" s="935"/>
      <c r="AUD1" s="935"/>
      <c r="AUE1" s="935"/>
      <c r="AUF1" s="935"/>
      <c r="AUG1" s="935"/>
      <c r="AUH1" s="935"/>
      <c r="AUI1" s="935"/>
      <c r="AUJ1" s="935"/>
      <c r="AUK1" s="935"/>
      <c r="AUL1" s="935"/>
      <c r="AUM1" s="935"/>
      <c r="AUN1" s="935"/>
      <c r="AUO1" s="935"/>
      <c r="AUP1" s="935"/>
      <c r="AUQ1" s="935"/>
      <c r="AUR1" s="935"/>
      <c r="AUS1" s="935"/>
      <c r="AUT1" s="935"/>
      <c r="AUU1" s="935"/>
      <c r="AUV1" s="935"/>
      <c r="AUW1" s="935"/>
      <c r="AUX1" s="935"/>
      <c r="AUY1" s="935"/>
      <c r="AUZ1" s="935"/>
      <c r="AVA1" s="935"/>
      <c r="AVB1" s="935"/>
      <c r="AVC1" s="935"/>
      <c r="AVD1" s="935"/>
      <c r="AVE1" s="935"/>
      <c r="AVF1" s="935"/>
      <c r="AVG1" s="935"/>
      <c r="AVH1" s="935"/>
      <c r="AVI1" s="935"/>
      <c r="AVJ1" s="935"/>
      <c r="AVK1" s="935"/>
      <c r="AVL1" s="935"/>
      <c r="AVM1" s="935"/>
      <c r="AVN1" s="935"/>
      <c r="AVO1" s="935"/>
      <c r="AVP1" s="935"/>
      <c r="AVQ1" s="935"/>
      <c r="AVR1" s="935"/>
      <c r="AVS1" s="935"/>
      <c r="AVT1" s="935"/>
      <c r="AVU1" s="935"/>
      <c r="AVV1" s="935"/>
      <c r="AVW1" s="935"/>
      <c r="AVX1" s="935"/>
      <c r="AVY1" s="935"/>
      <c r="AVZ1" s="935"/>
      <c r="AWA1" s="935"/>
      <c r="AWB1" s="935"/>
      <c r="AWC1" s="935"/>
      <c r="AWD1" s="935"/>
      <c r="AWE1" s="935"/>
      <c r="AWF1" s="935"/>
      <c r="AWG1" s="935"/>
      <c r="AWH1" s="935"/>
      <c r="AWI1" s="935"/>
      <c r="AWJ1" s="935"/>
      <c r="AWK1" s="935"/>
      <c r="AWL1" s="935"/>
      <c r="AWM1" s="935"/>
      <c r="AWN1" s="935"/>
      <c r="AWO1" s="935"/>
      <c r="AWP1" s="935"/>
      <c r="AWQ1" s="935"/>
      <c r="AWR1" s="935"/>
      <c r="AWS1" s="935"/>
      <c r="AWT1" s="935"/>
      <c r="AWU1" s="935"/>
      <c r="AWV1" s="935"/>
      <c r="AWW1" s="935"/>
      <c r="AWX1" s="935"/>
      <c r="AWY1" s="935"/>
      <c r="AWZ1" s="935"/>
      <c r="AXA1" s="935"/>
      <c r="AXB1" s="935"/>
      <c r="AXC1" s="935"/>
      <c r="AXD1" s="935"/>
      <c r="AXE1" s="935"/>
      <c r="AXF1" s="935"/>
      <c r="AXG1" s="935"/>
      <c r="AXH1" s="935"/>
      <c r="AXI1" s="935"/>
      <c r="AXJ1" s="935"/>
      <c r="AXK1" s="935"/>
      <c r="AXL1" s="935"/>
      <c r="AXM1" s="935"/>
      <c r="AXN1" s="935"/>
      <c r="AXO1" s="935"/>
      <c r="AXP1" s="935"/>
      <c r="AXQ1" s="935"/>
      <c r="AXR1" s="935"/>
      <c r="AXS1" s="935"/>
      <c r="AXT1" s="935"/>
      <c r="AXU1" s="935"/>
      <c r="AXV1" s="935"/>
      <c r="AXW1" s="935"/>
      <c r="AXX1" s="935"/>
      <c r="AXY1" s="935"/>
      <c r="AXZ1" s="935"/>
      <c r="AYA1" s="935"/>
      <c r="AYB1" s="935"/>
      <c r="AYC1" s="935"/>
      <c r="AYD1" s="935"/>
      <c r="AYE1" s="935"/>
      <c r="AYF1" s="935"/>
      <c r="AYG1" s="935"/>
      <c r="AYH1" s="935"/>
      <c r="AYI1" s="935"/>
      <c r="AYJ1" s="935"/>
      <c r="AYK1" s="935"/>
      <c r="AYL1" s="935"/>
      <c r="AYM1" s="935"/>
      <c r="AYN1" s="935"/>
      <c r="AYO1" s="935"/>
      <c r="AYP1" s="935"/>
      <c r="AYQ1" s="935"/>
      <c r="AYR1" s="935"/>
      <c r="AYS1" s="935"/>
      <c r="AYT1" s="935"/>
      <c r="AYU1" s="935"/>
      <c r="AYV1" s="935"/>
      <c r="AYW1" s="935"/>
      <c r="AYX1" s="935"/>
      <c r="AYY1" s="935"/>
      <c r="AYZ1" s="935"/>
      <c r="AZA1" s="935"/>
      <c r="AZB1" s="935"/>
      <c r="AZC1" s="935"/>
      <c r="AZD1" s="935"/>
      <c r="AZE1" s="935"/>
      <c r="AZF1" s="935"/>
      <c r="AZG1" s="935"/>
      <c r="AZH1" s="935"/>
      <c r="AZI1" s="935"/>
      <c r="AZJ1" s="935"/>
      <c r="AZK1" s="935"/>
      <c r="AZL1" s="935"/>
      <c r="AZM1" s="935"/>
      <c r="AZN1" s="935"/>
      <c r="AZO1" s="935"/>
      <c r="AZP1" s="935"/>
      <c r="AZQ1" s="935"/>
      <c r="AZR1" s="935"/>
      <c r="AZS1" s="935"/>
      <c r="AZT1" s="935"/>
      <c r="AZU1" s="935"/>
      <c r="AZV1" s="935"/>
      <c r="AZW1" s="935"/>
      <c r="AZX1" s="935"/>
      <c r="AZY1" s="935"/>
      <c r="AZZ1" s="935"/>
      <c r="BAA1" s="935"/>
      <c r="BAB1" s="935"/>
      <c r="BAC1" s="935"/>
      <c r="BAD1" s="935"/>
      <c r="BAE1" s="935"/>
      <c r="BAF1" s="935"/>
      <c r="BAG1" s="935"/>
      <c r="BAH1" s="935"/>
      <c r="BAI1" s="935"/>
      <c r="BAJ1" s="935"/>
      <c r="BAK1" s="935"/>
      <c r="BAL1" s="935"/>
      <c r="BAM1" s="935"/>
      <c r="BAN1" s="935"/>
      <c r="BAO1" s="935"/>
      <c r="BAP1" s="935"/>
      <c r="BAQ1" s="935"/>
      <c r="BAR1" s="935"/>
      <c r="BAS1" s="935"/>
      <c r="BAT1" s="935"/>
      <c r="BAU1" s="935"/>
      <c r="BAV1" s="935"/>
      <c r="BAW1" s="935"/>
      <c r="BAX1" s="935"/>
      <c r="BAY1" s="935"/>
      <c r="BAZ1" s="935"/>
      <c r="BBA1" s="935"/>
      <c r="BBB1" s="935"/>
      <c r="BBC1" s="935"/>
      <c r="BBD1" s="935"/>
      <c r="BBE1" s="935"/>
      <c r="BBF1" s="935"/>
      <c r="BBG1" s="935"/>
      <c r="BBH1" s="935"/>
      <c r="BBI1" s="935"/>
      <c r="BBJ1" s="935"/>
      <c r="BBK1" s="935"/>
      <c r="BBL1" s="935"/>
      <c r="BBM1" s="935"/>
      <c r="BBN1" s="935"/>
      <c r="BBO1" s="935"/>
      <c r="BBP1" s="935"/>
      <c r="BBQ1" s="935"/>
      <c r="BBR1" s="935"/>
      <c r="BBS1" s="935"/>
      <c r="BBT1" s="935"/>
      <c r="BBU1" s="935"/>
      <c r="BBV1" s="935"/>
      <c r="BBW1" s="935"/>
      <c r="BBX1" s="935"/>
      <c r="BBY1" s="935"/>
      <c r="BBZ1" s="935"/>
      <c r="BCA1" s="935"/>
      <c r="BCB1" s="935"/>
      <c r="BCC1" s="935"/>
      <c r="BCD1" s="935"/>
      <c r="BCE1" s="935"/>
      <c r="BCF1" s="935"/>
      <c r="BCG1" s="935"/>
      <c r="BCH1" s="935"/>
      <c r="BCI1" s="935"/>
      <c r="BCJ1" s="935"/>
      <c r="BCK1" s="935"/>
      <c r="BCL1" s="935"/>
      <c r="BCM1" s="935"/>
      <c r="BCN1" s="935"/>
      <c r="BCO1" s="935"/>
      <c r="BCP1" s="935"/>
      <c r="BCQ1" s="935"/>
      <c r="BCR1" s="935"/>
      <c r="BCS1" s="935"/>
      <c r="BCT1" s="935"/>
      <c r="BCU1" s="935"/>
      <c r="BCV1" s="935"/>
      <c r="BCW1" s="935"/>
      <c r="BCX1" s="935"/>
      <c r="BCY1" s="935"/>
      <c r="BCZ1" s="935"/>
      <c r="BDA1" s="935"/>
      <c r="BDB1" s="935"/>
      <c r="BDC1" s="935"/>
      <c r="BDD1" s="935"/>
      <c r="BDE1" s="935"/>
      <c r="BDF1" s="935"/>
      <c r="BDG1" s="935"/>
      <c r="BDH1" s="935"/>
      <c r="BDI1" s="935"/>
      <c r="BDJ1" s="935"/>
      <c r="BDK1" s="935"/>
      <c r="BDL1" s="935"/>
      <c r="BDM1" s="935"/>
      <c r="BDN1" s="935"/>
      <c r="BDO1" s="935"/>
      <c r="BDP1" s="935"/>
      <c r="BDQ1" s="935"/>
      <c r="BDR1" s="935"/>
      <c r="BDS1" s="935"/>
      <c r="BDT1" s="935"/>
      <c r="BDU1" s="935"/>
      <c r="BDV1" s="935"/>
      <c r="BDW1" s="935"/>
      <c r="BDX1" s="935"/>
      <c r="BDY1" s="935"/>
      <c r="BDZ1" s="935"/>
      <c r="BEA1" s="935"/>
      <c r="BEB1" s="935"/>
      <c r="BEC1" s="935"/>
      <c r="BED1" s="935"/>
      <c r="BEE1" s="935"/>
      <c r="BEF1" s="935"/>
      <c r="BEG1" s="935"/>
      <c r="BEH1" s="935"/>
      <c r="BEI1" s="935"/>
      <c r="BEJ1" s="935"/>
      <c r="BEK1" s="935"/>
      <c r="BEL1" s="935"/>
      <c r="BEM1" s="935"/>
      <c r="BEN1" s="935"/>
      <c r="BEO1" s="935"/>
      <c r="BEP1" s="935"/>
      <c r="BEQ1" s="935"/>
      <c r="BER1" s="935"/>
      <c r="BES1" s="935"/>
      <c r="BET1" s="935"/>
      <c r="BEU1" s="935"/>
      <c r="BEV1" s="935"/>
      <c r="BEW1" s="935"/>
      <c r="BEX1" s="935"/>
      <c r="BEY1" s="935"/>
      <c r="BEZ1" s="935"/>
      <c r="BFA1" s="935"/>
      <c r="BFB1" s="935"/>
      <c r="BFC1" s="935"/>
      <c r="BFD1" s="935"/>
      <c r="BFE1" s="935"/>
      <c r="BFF1" s="935"/>
      <c r="BFG1" s="935"/>
      <c r="BFH1" s="935"/>
      <c r="BFI1" s="935"/>
      <c r="BFJ1" s="935"/>
      <c r="BFK1" s="935"/>
      <c r="BFL1" s="935"/>
      <c r="BFM1" s="935"/>
      <c r="BFN1" s="935"/>
      <c r="BFO1" s="935"/>
      <c r="BFP1" s="935"/>
      <c r="BFQ1" s="935"/>
      <c r="BFR1" s="935"/>
      <c r="BFS1" s="935"/>
      <c r="BFT1" s="935"/>
      <c r="BFU1" s="935"/>
      <c r="BFV1" s="935"/>
      <c r="BFW1" s="935"/>
      <c r="BFX1" s="935"/>
      <c r="BFY1" s="935"/>
      <c r="BFZ1" s="935"/>
      <c r="BGA1" s="935"/>
      <c r="BGB1" s="935"/>
      <c r="BGC1" s="935"/>
      <c r="BGD1" s="935"/>
      <c r="BGE1" s="935"/>
      <c r="BGF1" s="935"/>
      <c r="BGG1" s="935"/>
      <c r="BGH1" s="935"/>
      <c r="BGI1" s="935"/>
      <c r="BGJ1" s="935"/>
      <c r="BGK1" s="935"/>
      <c r="BGL1" s="935"/>
      <c r="BGM1" s="935"/>
      <c r="BGN1" s="935"/>
      <c r="BGO1" s="935"/>
      <c r="BGP1" s="935"/>
      <c r="BGQ1" s="935"/>
      <c r="BGR1" s="935"/>
      <c r="BGS1" s="935"/>
      <c r="BGT1" s="935"/>
      <c r="BGU1" s="935"/>
      <c r="BGV1" s="935"/>
      <c r="BGW1" s="935"/>
      <c r="BGX1" s="935"/>
      <c r="BGY1" s="935"/>
      <c r="BGZ1" s="935"/>
      <c r="BHA1" s="935"/>
      <c r="BHB1" s="935"/>
      <c r="BHC1" s="935"/>
      <c r="BHD1" s="935"/>
      <c r="BHE1" s="935"/>
      <c r="BHF1" s="935"/>
      <c r="BHG1" s="935"/>
      <c r="BHH1" s="935"/>
      <c r="BHI1" s="935"/>
      <c r="BHJ1" s="935"/>
      <c r="BHK1" s="935"/>
      <c r="BHL1" s="935"/>
      <c r="BHM1" s="935"/>
      <c r="BHN1" s="935"/>
      <c r="BHO1" s="935"/>
      <c r="BHP1" s="935"/>
      <c r="BHQ1" s="935"/>
      <c r="BHR1" s="935"/>
      <c r="BHS1" s="935"/>
      <c r="BHT1" s="935"/>
      <c r="BHU1" s="935"/>
      <c r="BHV1" s="935"/>
      <c r="BHW1" s="935"/>
      <c r="BHX1" s="935"/>
      <c r="BHY1" s="935"/>
      <c r="BHZ1" s="935"/>
      <c r="BIA1" s="935"/>
      <c r="BIB1" s="935"/>
      <c r="BIC1" s="935"/>
      <c r="BID1" s="935"/>
      <c r="BIE1" s="935"/>
      <c r="BIF1" s="935"/>
      <c r="BIG1" s="935"/>
      <c r="BIH1" s="935"/>
      <c r="BII1" s="935"/>
      <c r="BIJ1" s="935"/>
      <c r="BIK1" s="935"/>
      <c r="BIL1" s="935"/>
      <c r="BIM1" s="935"/>
      <c r="BIN1" s="935"/>
      <c r="BIO1" s="935"/>
      <c r="BIP1" s="935"/>
      <c r="BIQ1" s="935"/>
      <c r="BIR1" s="935"/>
      <c r="BIS1" s="935"/>
      <c r="BIT1" s="935"/>
      <c r="BIU1" s="935"/>
      <c r="BIV1" s="935"/>
      <c r="BIW1" s="935"/>
      <c r="BIX1" s="935"/>
      <c r="BIY1" s="935"/>
      <c r="BIZ1" s="935"/>
      <c r="BJA1" s="935"/>
      <c r="BJB1" s="935"/>
      <c r="BJC1" s="935"/>
      <c r="BJD1" s="935"/>
      <c r="BJE1" s="935"/>
      <c r="BJF1" s="935"/>
      <c r="BJG1" s="935"/>
      <c r="BJH1" s="935"/>
      <c r="BJI1" s="935"/>
      <c r="BJJ1" s="935"/>
      <c r="BJK1" s="935"/>
      <c r="BJL1" s="935"/>
      <c r="BJM1" s="935"/>
      <c r="BJN1" s="935"/>
      <c r="BJO1" s="935"/>
      <c r="BJP1" s="935"/>
      <c r="BJQ1" s="935"/>
      <c r="BJR1" s="935"/>
      <c r="BJS1" s="935"/>
      <c r="BJT1" s="935"/>
      <c r="BJU1" s="935"/>
      <c r="BJV1" s="935"/>
      <c r="BJW1" s="935"/>
      <c r="BJX1" s="935"/>
      <c r="BJY1" s="935"/>
      <c r="BJZ1" s="935"/>
      <c r="BKA1" s="935"/>
      <c r="BKB1" s="935"/>
      <c r="BKC1" s="935"/>
      <c r="BKD1" s="935"/>
      <c r="BKE1" s="935"/>
      <c r="BKF1" s="935"/>
      <c r="BKG1" s="935"/>
      <c r="BKH1" s="935"/>
      <c r="BKI1" s="935"/>
      <c r="BKJ1" s="935"/>
      <c r="BKK1" s="935"/>
      <c r="BKL1" s="935"/>
      <c r="BKM1" s="935"/>
      <c r="BKN1" s="935"/>
      <c r="BKO1" s="935"/>
      <c r="BKP1" s="935"/>
      <c r="BKQ1" s="935"/>
      <c r="BKR1" s="935"/>
      <c r="BKS1" s="935"/>
      <c r="BKT1" s="935"/>
      <c r="BKU1" s="935"/>
      <c r="BKV1" s="935"/>
      <c r="BKW1" s="935"/>
      <c r="BKX1" s="935"/>
      <c r="BKY1" s="935"/>
      <c r="BKZ1" s="935"/>
      <c r="BLA1" s="935"/>
      <c r="BLB1" s="935"/>
      <c r="BLC1" s="935"/>
      <c r="BLD1" s="935"/>
      <c r="BLE1" s="935"/>
      <c r="BLF1" s="935"/>
      <c r="BLG1" s="935"/>
      <c r="BLH1" s="935"/>
      <c r="BLI1" s="935"/>
      <c r="BLJ1" s="935"/>
      <c r="BLK1" s="935"/>
      <c r="BLL1" s="935"/>
      <c r="BLM1" s="935"/>
      <c r="BLN1" s="935"/>
      <c r="BLO1" s="935"/>
      <c r="BLP1" s="935"/>
      <c r="BLQ1" s="935"/>
      <c r="BLR1" s="935"/>
      <c r="BLS1" s="935"/>
      <c r="BLT1" s="935"/>
      <c r="BLU1" s="935"/>
      <c r="BLV1" s="935"/>
      <c r="BLW1" s="935"/>
      <c r="BLX1" s="935"/>
      <c r="BLY1" s="935"/>
      <c r="BLZ1" s="935"/>
      <c r="BMA1" s="935"/>
      <c r="BMB1" s="935"/>
      <c r="BMC1" s="935"/>
      <c r="BMD1" s="935"/>
      <c r="BME1" s="935"/>
      <c r="BMF1" s="935"/>
      <c r="BMG1" s="935"/>
      <c r="BMH1" s="935"/>
      <c r="BMI1" s="935"/>
      <c r="BMJ1" s="935"/>
      <c r="BMK1" s="935"/>
      <c r="BML1" s="935"/>
      <c r="BMM1" s="935"/>
      <c r="BMN1" s="935"/>
      <c r="BMO1" s="935"/>
      <c r="BMP1" s="935"/>
      <c r="BMQ1" s="935"/>
      <c r="BMR1" s="935"/>
      <c r="BMS1" s="935"/>
      <c r="BMT1" s="935"/>
      <c r="BMU1" s="935"/>
      <c r="BMV1" s="935"/>
      <c r="BMW1" s="935"/>
      <c r="BMX1" s="935"/>
      <c r="BMY1" s="935"/>
      <c r="BMZ1" s="935"/>
      <c r="BNA1" s="935"/>
      <c r="BNB1" s="935"/>
      <c r="BNC1" s="935"/>
      <c r="BND1" s="935"/>
      <c r="BNE1" s="935"/>
      <c r="BNF1" s="935"/>
      <c r="BNG1" s="935"/>
      <c r="BNH1" s="935"/>
      <c r="BNI1" s="935"/>
      <c r="BNJ1" s="935"/>
      <c r="BNK1" s="935"/>
      <c r="BNL1" s="935"/>
      <c r="BNM1" s="935"/>
      <c r="BNN1" s="935"/>
      <c r="BNO1" s="935"/>
      <c r="BNP1" s="935"/>
      <c r="BNQ1" s="935"/>
      <c r="BNR1" s="935"/>
      <c r="BNS1" s="935"/>
      <c r="BNT1" s="935"/>
      <c r="BNU1" s="935"/>
      <c r="BNV1" s="935"/>
      <c r="BNW1" s="935"/>
      <c r="BNX1" s="935"/>
      <c r="BNY1" s="935"/>
      <c r="BNZ1" s="935"/>
      <c r="BOA1" s="935"/>
      <c r="BOB1" s="935"/>
      <c r="BOC1" s="935"/>
      <c r="BOD1" s="935"/>
      <c r="BOE1" s="935"/>
      <c r="BOF1" s="935"/>
      <c r="BOG1" s="935"/>
      <c r="BOH1" s="935"/>
      <c r="BOI1" s="935"/>
      <c r="BOJ1" s="935"/>
      <c r="BOK1" s="935"/>
      <c r="BOL1" s="935"/>
      <c r="BOM1" s="935"/>
      <c r="BON1" s="935"/>
      <c r="BOO1" s="935"/>
      <c r="BOP1" s="935"/>
      <c r="BOQ1" s="935"/>
      <c r="BOR1" s="935"/>
      <c r="BOS1" s="935"/>
      <c r="BOT1" s="935"/>
      <c r="BOU1" s="935"/>
      <c r="BOV1" s="935"/>
      <c r="BOW1" s="935"/>
      <c r="BOX1" s="935"/>
      <c r="BOY1" s="935"/>
      <c r="BOZ1" s="935"/>
      <c r="BPA1" s="935"/>
      <c r="BPB1" s="935"/>
      <c r="BPC1" s="935"/>
      <c r="BPD1" s="935"/>
      <c r="BPE1" s="935"/>
      <c r="BPF1" s="935"/>
      <c r="BPG1" s="935"/>
      <c r="BPH1" s="935"/>
      <c r="BPI1" s="935"/>
      <c r="BPJ1" s="935"/>
      <c r="BPK1" s="935"/>
      <c r="BPL1" s="935"/>
      <c r="BPM1" s="935"/>
      <c r="BPN1" s="935"/>
      <c r="BPO1" s="935"/>
      <c r="BPP1" s="935"/>
      <c r="BPQ1" s="935"/>
      <c r="BPR1" s="935"/>
      <c r="BPS1" s="935"/>
      <c r="BPT1" s="935"/>
      <c r="BPU1" s="935"/>
      <c r="BPV1" s="935"/>
      <c r="BPW1" s="935"/>
      <c r="BPX1" s="935"/>
      <c r="BPY1" s="935"/>
      <c r="BPZ1" s="935"/>
      <c r="BQA1" s="935"/>
      <c r="BQB1" s="935"/>
      <c r="BQC1" s="935"/>
      <c r="BQD1" s="935"/>
      <c r="BQE1" s="935"/>
      <c r="BQF1" s="935"/>
      <c r="BQG1" s="935"/>
      <c r="BQH1" s="935"/>
      <c r="BQI1" s="935"/>
      <c r="BQJ1" s="935"/>
      <c r="BQK1" s="935"/>
      <c r="BQL1" s="935"/>
      <c r="BQM1" s="935"/>
      <c r="BQN1" s="935"/>
      <c r="BQO1" s="935"/>
      <c r="BQP1" s="935"/>
      <c r="BQQ1" s="935"/>
      <c r="BQR1" s="935"/>
      <c r="BQS1" s="935"/>
      <c r="BQT1" s="935"/>
      <c r="BQU1" s="935"/>
      <c r="BQV1" s="935"/>
      <c r="BQW1" s="935"/>
      <c r="BQX1" s="935"/>
      <c r="BQY1" s="935"/>
      <c r="BQZ1" s="935"/>
      <c r="BRA1" s="935"/>
      <c r="BRB1" s="935"/>
      <c r="BRC1" s="935"/>
      <c r="BRD1" s="935"/>
      <c r="BRE1" s="935"/>
      <c r="BRF1" s="935"/>
      <c r="BRG1" s="935"/>
      <c r="BRH1" s="935"/>
      <c r="BRI1" s="935"/>
      <c r="BRJ1" s="935"/>
      <c r="BRK1" s="935"/>
      <c r="BRL1" s="935"/>
      <c r="BRM1" s="935"/>
      <c r="BRN1" s="935"/>
      <c r="BRO1" s="935"/>
      <c r="BRP1" s="935"/>
      <c r="BRQ1" s="935"/>
      <c r="BRR1" s="935"/>
      <c r="BRS1" s="935"/>
      <c r="BRT1" s="935"/>
      <c r="BRU1" s="935"/>
      <c r="BRV1" s="935"/>
      <c r="BRW1" s="935"/>
      <c r="BRX1" s="935"/>
      <c r="BRY1" s="935"/>
      <c r="BRZ1" s="935"/>
      <c r="BSA1" s="935"/>
      <c r="BSB1" s="935"/>
      <c r="BSC1" s="935"/>
      <c r="BSD1" s="935"/>
      <c r="BSE1" s="935"/>
      <c r="BSF1" s="935"/>
      <c r="BSG1" s="935"/>
      <c r="BSH1" s="935"/>
      <c r="BSI1" s="935"/>
      <c r="BSJ1" s="935"/>
      <c r="BSK1" s="935"/>
      <c r="BSL1" s="935"/>
      <c r="BSM1" s="935"/>
      <c r="BSN1" s="935"/>
      <c r="BSO1" s="935"/>
      <c r="BSP1" s="935"/>
      <c r="BSQ1" s="935"/>
      <c r="BSR1" s="935"/>
      <c r="BSS1" s="935"/>
      <c r="BST1" s="935"/>
      <c r="BSU1" s="935"/>
      <c r="BSV1" s="935"/>
      <c r="BSW1" s="935"/>
      <c r="BSX1" s="935"/>
      <c r="BSY1" s="935"/>
      <c r="BSZ1" s="935"/>
      <c r="BTA1" s="935"/>
      <c r="BTB1" s="935"/>
      <c r="BTC1" s="935"/>
      <c r="BTD1" s="935"/>
      <c r="BTE1" s="935"/>
      <c r="BTF1" s="935"/>
      <c r="BTG1" s="935"/>
      <c r="BTH1" s="935"/>
      <c r="BTI1" s="935"/>
      <c r="BTJ1" s="935"/>
      <c r="BTK1" s="935"/>
      <c r="BTL1" s="935"/>
      <c r="BTM1" s="935"/>
      <c r="BTN1" s="935"/>
      <c r="BTO1" s="935"/>
      <c r="BTP1" s="935"/>
      <c r="BTQ1" s="935"/>
      <c r="BTR1" s="935"/>
      <c r="BTS1" s="935"/>
      <c r="BTT1" s="935"/>
      <c r="BTU1" s="935"/>
      <c r="BTV1" s="935"/>
      <c r="BTW1" s="935"/>
      <c r="BTX1" s="935"/>
      <c r="BTY1" s="935"/>
      <c r="BTZ1" s="935"/>
      <c r="BUA1" s="935"/>
      <c r="BUB1" s="935"/>
      <c r="BUC1" s="935"/>
      <c r="BUD1" s="935"/>
      <c r="BUE1" s="935"/>
      <c r="BUF1" s="935"/>
      <c r="BUG1" s="935"/>
      <c r="BUH1" s="935"/>
      <c r="BUI1" s="935"/>
      <c r="BUJ1" s="935"/>
      <c r="BUK1" s="935"/>
      <c r="BUL1" s="935"/>
      <c r="BUM1" s="935"/>
      <c r="BUN1" s="935"/>
      <c r="BUO1" s="935"/>
      <c r="BUP1" s="935"/>
      <c r="BUQ1" s="935"/>
      <c r="BUR1" s="935"/>
      <c r="BUS1" s="935"/>
      <c r="BUT1" s="935"/>
      <c r="BUU1" s="935"/>
      <c r="BUV1" s="935"/>
      <c r="BUW1" s="935"/>
      <c r="BUX1" s="935"/>
      <c r="BUY1" s="935"/>
      <c r="BUZ1" s="935"/>
      <c r="BVA1" s="935"/>
      <c r="BVB1" s="935"/>
      <c r="BVC1" s="935"/>
      <c r="BVD1" s="935"/>
      <c r="BVE1" s="935"/>
      <c r="BVF1" s="935"/>
      <c r="BVG1" s="935"/>
      <c r="BVH1" s="935"/>
      <c r="BVI1" s="935"/>
      <c r="BVJ1" s="935"/>
      <c r="BVK1" s="935"/>
      <c r="BVL1" s="935"/>
      <c r="BVM1" s="935"/>
      <c r="BVN1" s="935"/>
      <c r="BVO1" s="935"/>
      <c r="BVP1" s="935"/>
      <c r="BVQ1" s="935"/>
      <c r="BVR1" s="935"/>
      <c r="BVS1" s="935"/>
      <c r="BVT1" s="935"/>
      <c r="BVU1" s="935"/>
      <c r="BVV1" s="935"/>
      <c r="BVW1" s="935"/>
      <c r="BVX1" s="935"/>
      <c r="BVY1" s="935"/>
      <c r="BVZ1" s="935"/>
      <c r="BWA1" s="935"/>
      <c r="BWB1" s="935"/>
      <c r="BWC1" s="935"/>
      <c r="BWD1" s="935"/>
      <c r="BWE1" s="935"/>
      <c r="BWF1" s="935"/>
      <c r="BWG1" s="935"/>
      <c r="BWH1" s="935"/>
      <c r="BWI1" s="935"/>
      <c r="BWJ1" s="935"/>
      <c r="BWK1" s="935"/>
      <c r="BWL1" s="935"/>
      <c r="BWM1" s="935"/>
      <c r="BWN1" s="935"/>
      <c r="BWO1" s="935"/>
      <c r="BWP1" s="935"/>
      <c r="BWQ1" s="935"/>
      <c r="BWR1" s="935"/>
      <c r="BWS1" s="935"/>
      <c r="BWT1" s="935"/>
      <c r="BWU1" s="935"/>
      <c r="BWV1" s="935"/>
      <c r="BWW1" s="935"/>
      <c r="BWX1" s="935"/>
      <c r="BWY1" s="935"/>
      <c r="BWZ1" s="935"/>
      <c r="BXA1" s="935"/>
      <c r="BXB1" s="935"/>
      <c r="BXC1" s="935"/>
      <c r="BXD1" s="935"/>
      <c r="BXE1" s="935"/>
      <c r="BXF1" s="935"/>
      <c r="BXG1" s="935"/>
      <c r="BXH1" s="935"/>
      <c r="BXI1" s="935"/>
      <c r="BXJ1" s="935"/>
      <c r="BXK1" s="935"/>
      <c r="BXL1" s="935"/>
      <c r="BXM1" s="935"/>
      <c r="BXN1" s="935"/>
      <c r="BXO1" s="935"/>
      <c r="BXP1" s="935"/>
      <c r="BXQ1" s="935"/>
      <c r="BXR1" s="935"/>
      <c r="BXS1" s="935"/>
      <c r="BXT1" s="935"/>
      <c r="BXU1" s="935"/>
      <c r="BXV1" s="935"/>
      <c r="BXW1" s="935"/>
      <c r="BXX1" s="935"/>
      <c r="BXY1" s="935"/>
      <c r="BXZ1" s="935"/>
      <c r="BYA1" s="935"/>
      <c r="BYB1" s="935"/>
      <c r="BYC1" s="935"/>
      <c r="BYD1" s="935"/>
      <c r="BYE1" s="935"/>
      <c r="BYF1" s="935"/>
      <c r="BYG1" s="935"/>
      <c r="BYH1" s="935"/>
      <c r="BYI1" s="935"/>
      <c r="BYJ1" s="935"/>
      <c r="BYK1" s="935"/>
      <c r="BYL1" s="935"/>
      <c r="BYM1" s="935"/>
      <c r="BYN1" s="935"/>
      <c r="BYO1" s="935"/>
      <c r="BYP1" s="935"/>
      <c r="BYQ1" s="935"/>
      <c r="BYR1" s="935"/>
      <c r="BYS1" s="935"/>
      <c r="BYT1" s="935"/>
      <c r="BYU1" s="935"/>
      <c r="BYV1" s="935"/>
      <c r="BYW1" s="935"/>
      <c r="BYX1" s="935"/>
      <c r="BYY1" s="935"/>
      <c r="BYZ1" s="935"/>
      <c r="BZA1" s="935"/>
      <c r="BZB1" s="935"/>
      <c r="BZC1" s="935"/>
      <c r="BZD1" s="935"/>
      <c r="BZE1" s="935"/>
      <c r="BZF1" s="935"/>
      <c r="BZG1" s="935"/>
      <c r="BZH1" s="935"/>
      <c r="BZI1" s="935"/>
      <c r="BZJ1" s="935"/>
      <c r="BZK1" s="935"/>
      <c r="BZL1" s="935"/>
      <c r="BZM1" s="935"/>
      <c r="BZN1" s="935"/>
      <c r="BZO1" s="935"/>
      <c r="BZP1" s="935"/>
      <c r="BZQ1" s="935"/>
      <c r="BZR1" s="935"/>
      <c r="BZS1" s="935"/>
      <c r="BZT1" s="935"/>
      <c r="BZU1" s="935"/>
      <c r="BZV1" s="935"/>
      <c r="BZW1" s="935"/>
      <c r="BZX1" s="935"/>
      <c r="BZY1" s="935"/>
      <c r="BZZ1" s="935"/>
      <c r="CAA1" s="935"/>
      <c r="CAB1" s="935"/>
      <c r="CAC1" s="935"/>
      <c r="CAD1" s="935"/>
      <c r="CAE1" s="935"/>
      <c r="CAF1" s="935"/>
      <c r="CAG1" s="935"/>
      <c r="CAH1" s="935"/>
      <c r="CAI1" s="935"/>
      <c r="CAJ1" s="935"/>
      <c r="CAK1" s="935"/>
      <c r="CAL1" s="935"/>
      <c r="CAM1" s="935"/>
      <c r="CAN1" s="935"/>
      <c r="CAO1" s="935"/>
      <c r="CAP1" s="935"/>
      <c r="CAQ1" s="935"/>
      <c r="CAR1" s="935"/>
      <c r="CAS1" s="935"/>
      <c r="CAT1" s="935"/>
      <c r="CAU1" s="935"/>
      <c r="CAV1" s="935"/>
      <c r="CAW1" s="935"/>
      <c r="CAX1" s="935"/>
      <c r="CAY1" s="935"/>
      <c r="CAZ1" s="935"/>
      <c r="CBA1" s="935"/>
      <c r="CBB1" s="935"/>
      <c r="CBC1" s="935"/>
      <c r="CBD1" s="935"/>
      <c r="CBE1" s="935"/>
      <c r="CBF1" s="935"/>
      <c r="CBG1" s="935"/>
      <c r="CBH1" s="935"/>
      <c r="CBI1" s="935"/>
      <c r="CBJ1" s="935"/>
      <c r="CBK1" s="935"/>
      <c r="CBL1" s="935"/>
      <c r="CBM1" s="935"/>
      <c r="CBN1" s="935"/>
      <c r="CBO1" s="935"/>
      <c r="CBP1" s="935"/>
      <c r="CBQ1" s="935"/>
      <c r="CBR1" s="935"/>
      <c r="CBS1" s="935"/>
      <c r="CBT1" s="935"/>
      <c r="CBU1" s="935"/>
      <c r="CBV1" s="935"/>
      <c r="CBW1" s="935"/>
      <c r="CBX1" s="935"/>
      <c r="CBY1" s="935"/>
      <c r="CBZ1" s="935"/>
      <c r="CCA1" s="935"/>
      <c r="CCB1" s="935"/>
      <c r="CCC1" s="935"/>
      <c r="CCD1" s="935"/>
      <c r="CCE1" s="935"/>
      <c r="CCF1" s="935"/>
      <c r="CCG1" s="935"/>
      <c r="CCH1" s="935"/>
      <c r="CCI1" s="935"/>
      <c r="CCJ1" s="935"/>
      <c r="CCK1" s="935"/>
      <c r="CCL1" s="935"/>
      <c r="CCM1" s="935"/>
      <c r="CCN1" s="935"/>
      <c r="CCO1" s="935"/>
      <c r="CCP1" s="935"/>
      <c r="CCQ1" s="935"/>
      <c r="CCR1" s="935"/>
      <c r="CCS1" s="935"/>
      <c r="CCT1" s="935"/>
      <c r="CCU1" s="935"/>
      <c r="CCV1" s="935"/>
      <c r="CCW1" s="935"/>
      <c r="CCX1" s="935"/>
      <c r="CCY1" s="935"/>
      <c r="CCZ1" s="935"/>
      <c r="CDA1" s="935"/>
      <c r="CDB1" s="935"/>
      <c r="CDC1" s="935"/>
      <c r="CDD1" s="935"/>
      <c r="CDE1" s="935"/>
      <c r="CDF1" s="935"/>
      <c r="CDG1" s="935"/>
      <c r="CDH1" s="935"/>
      <c r="CDI1" s="935"/>
      <c r="CDJ1" s="935"/>
      <c r="CDK1" s="935"/>
      <c r="CDL1" s="935"/>
      <c r="CDM1" s="935"/>
      <c r="CDN1" s="935"/>
      <c r="CDO1" s="935"/>
      <c r="CDP1" s="935"/>
      <c r="CDQ1" s="935"/>
      <c r="CDR1" s="935"/>
      <c r="CDS1" s="935"/>
      <c r="CDT1" s="935"/>
      <c r="CDU1" s="935"/>
      <c r="CDV1" s="935"/>
      <c r="CDW1" s="935"/>
      <c r="CDX1" s="935"/>
      <c r="CDY1" s="935"/>
      <c r="CDZ1" s="935"/>
      <c r="CEA1" s="935"/>
      <c r="CEB1" s="935"/>
      <c r="CEC1" s="935"/>
      <c r="CED1" s="935"/>
      <c r="CEE1" s="935"/>
      <c r="CEF1" s="935"/>
      <c r="CEG1" s="935"/>
      <c r="CEH1" s="935"/>
      <c r="CEI1" s="935"/>
      <c r="CEJ1" s="935"/>
      <c r="CEK1" s="935"/>
      <c r="CEL1" s="935"/>
      <c r="CEM1" s="935"/>
      <c r="CEN1" s="935"/>
      <c r="CEO1" s="935"/>
      <c r="CEP1" s="935"/>
      <c r="CEQ1" s="935"/>
      <c r="CER1" s="935"/>
      <c r="CES1" s="935"/>
      <c r="CET1" s="935"/>
      <c r="CEU1" s="935"/>
      <c r="CEV1" s="935"/>
      <c r="CEW1" s="935"/>
      <c r="CEX1" s="935"/>
      <c r="CEY1" s="935"/>
      <c r="CEZ1" s="935"/>
      <c r="CFA1" s="935"/>
      <c r="CFB1" s="935"/>
      <c r="CFC1" s="935"/>
      <c r="CFD1" s="935"/>
      <c r="CFE1" s="935"/>
      <c r="CFF1" s="935"/>
      <c r="CFG1" s="935"/>
      <c r="CFH1" s="935"/>
      <c r="CFI1" s="935"/>
      <c r="CFJ1" s="935"/>
      <c r="CFK1" s="935"/>
      <c r="CFL1" s="935"/>
      <c r="CFM1" s="935"/>
      <c r="CFN1" s="935"/>
      <c r="CFO1" s="935"/>
      <c r="CFP1" s="935"/>
      <c r="CFQ1" s="935"/>
      <c r="CFR1" s="935"/>
      <c r="CFS1" s="935"/>
      <c r="CFT1" s="935"/>
      <c r="CFU1" s="935"/>
      <c r="CFV1" s="935"/>
      <c r="CFW1" s="935"/>
      <c r="CFX1" s="935"/>
      <c r="CFY1" s="935"/>
      <c r="CFZ1" s="935"/>
      <c r="CGA1" s="935"/>
      <c r="CGB1" s="935"/>
      <c r="CGC1" s="935"/>
      <c r="CGD1" s="935"/>
      <c r="CGE1" s="935"/>
      <c r="CGF1" s="935"/>
      <c r="CGG1" s="935"/>
      <c r="CGH1" s="935"/>
      <c r="CGI1" s="935"/>
      <c r="CGJ1" s="935"/>
      <c r="CGK1" s="935"/>
      <c r="CGL1" s="935"/>
      <c r="CGM1" s="935"/>
      <c r="CGN1" s="935"/>
      <c r="CGO1" s="935"/>
      <c r="CGP1" s="935"/>
      <c r="CGQ1" s="935"/>
      <c r="CGR1" s="935"/>
      <c r="CGS1" s="935"/>
      <c r="CGT1" s="935"/>
      <c r="CGU1" s="935"/>
      <c r="CGV1" s="935"/>
      <c r="CGW1" s="935"/>
      <c r="CGX1" s="935"/>
      <c r="CGY1" s="935"/>
      <c r="CGZ1" s="935"/>
      <c r="CHA1" s="935"/>
      <c r="CHB1" s="935"/>
      <c r="CHC1" s="935"/>
      <c r="CHD1" s="935"/>
      <c r="CHE1" s="935"/>
      <c r="CHF1" s="935"/>
      <c r="CHG1" s="935"/>
      <c r="CHH1" s="935"/>
      <c r="CHI1" s="935"/>
      <c r="CHJ1" s="935"/>
      <c r="CHK1" s="935"/>
      <c r="CHL1" s="935"/>
      <c r="CHM1" s="935"/>
      <c r="CHN1" s="935"/>
      <c r="CHO1" s="935"/>
      <c r="CHP1" s="935"/>
      <c r="CHQ1" s="935"/>
      <c r="CHR1" s="935"/>
      <c r="CHS1" s="935"/>
      <c r="CHT1" s="935"/>
      <c r="CHU1" s="935"/>
      <c r="CHV1" s="935"/>
      <c r="CHW1" s="935"/>
      <c r="CHX1" s="935"/>
      <c r="CHY1" s="935"/>
      <c r="CHZ1" s="935"/>
      <c r="CIA1" s="935"/>
      <c r="CIB1" s="935"/>
      <c r="CIC1" s="935"/>
      <c r="CID1" s="935"/>
      <c r="CIE1" s="935"/>
      <c r="CIF1" s="935"/>
      <c r="CIG1" s="935"/>
      <c r="CIH1" s="935"/>
      <c r="CII1" s="935"/>
      <c r="CIJ1" s="935"/>
      <c r="CIK1" s="935"/>
      <c r="CIL1" s="935"/>
      <c r="CIM1" s="935"/>
      <c r="CIN1" s="935"/>
      <c r="CIO1" s="935"/>
      <c r="CIP1" s="935"/>
      <c r="CIQ1" s="935"/>
      <c r="CIR1" s="935"/>
      <c r="CIS1" s="935"/>
      <c r="CIT1" s="935"/>
      <c r="CIU1" s="935"/>
      <c r="CIV1" s="935"/>
      <c r="CIW1" s="935"/>
      <c r="CIX1" s="935"/>
      <c r="CIY1" s="935"/>
      <c r="CIZ1" s="935"/>
      <c r="CJA1" s="935"/>
      <c r="CJB1" s="935"/>
      <c r="CJC1" s="935"/>
      <c r="CJD1" s="935"/>
      <c r="CJE1" s="935"/>
      <c r="CJF1" s="935"/>
      <c r="CJG1" s="935"/>
      <c r="CJH1" s="935"/>
      <c r="CJI1" s="935"/>
      <c r="CJJ1" s="935"/>
      <c r="CJK1" s="935"/>
      <c r="CJL1" s="935"/>
      <c r="CJM1" s="935"/>
      <c r="CJN1" s="935"/>
      <c r="CJO1" s="935"/>
      <c r="CJP1" s="935"/>
      <c r="CJQ1" s="935"/>
      <c r="CJR1" s="935"/>
      <c r="CJS1" s="935"/>
      <c r="CJT1" s="935"/>
      <c r="CJU1" s="935"/>
      <c r="CJV1" s="935"/>
      <c r="CJW1" s="935"/>
      <c r="CJX1" s="935"/>
      <c r="CJY1" s="935"/>
      <c r="CJZ1" s="935"/>
      <c r="CKA1" s="935"/>
      <c r="CKB1" s="935"/>
      <c r="CKC1" s="935"/>
      <c r="CKD1" s="935"/>
      <c r="CKE1" s="935"/>
      <c r="CKF1" s="935"/>
      <c r="CKG1" s="935"/>
      <c r="CKH1" s="935"/>
      <c r="CKI1" s="935"/>
      <c r="CKJ1" s="935"/>
      <c r="CKK1" s="935"/>
      <c r="CKL1" s="935"/>
      <c r="CKM1" s="935"/>
      <c r="CKN1" s="935"/>
      <c r="CKO1" s="935"/>
      <c r="CKP1" s="935"/>
      <c r="CKQ1" s="935"/>
      <c r="CKR1" s="935"/>
      <c r="CKS1" s="935"/>
      <c r="CKT1" s="935"/>
      <c r="CKU1" s="935"/>
      <c r="CKV1" s="935"/>
      <c r="CKW1" s="935"/>
      <c r="CKX1" s="935"/>
      <c r="CKY1" s="935"/>
      <c r="CKZ1" s="935"/>
      <c r="CLA1" s="935"/>
      <c r="CLB1" s="935"/>
      <c r="CLC1" s="935"/>
      <c r="CLD1" s="935"/>
      <c r="CLE1" s="935"/>
      <c r="CLF1" s="935"/>
      <c r="CLG1" s="935"/>
      <c r="CLH1" s="935"/>
      <c r="CLI1" s="935"/>
      <c r="CLJ1" s="935"/>
      <c r="CLK1" s="935"/>
      <c r="CLL1" s="935"/>
      <c r="CLM1" s="935"/>
      <c r="CLN1" s="935"/>
      <c r="CLO1" s="935"/>
      <c r="CLP1" s="935"/>
      <c r="CLQ1" s="935"/>
      <c r="CLR1" s="935"/>
      <c r="CLS1" s="935"/>
      <c r="CLT1" s="935"/>
      <c r="CLU1" s="935"/>
      <c r="CLV1" s="935"/>
      <c r="CLW1" s="935"/>
      <c r="CLX1" s="935"/>
      <c r="CLY1" s="935"/>
      <c r="CLZ1" s="935"/>
      <c r="CMA1" s="935"/>
      <c r="CMB1" s="935"/>
      <c r="CMC1" s="935"/>
      <c r="CMD1" s="935"/>
      <c r="CME1" s="935"/>
      <c r="CMF1" s="935"/>
      <c r="CMG1" s="935"/>
      <c r="CMH1" s="935"/>
      <c r="CMI1" s="935"/>
      <c r="CMJ1" s="935"/>
      <c r="CMK1" s="935"/>
      <c r="CML1" s="935"/>
      <c r="CMM1" s="935"/>
      <c r="CMN1" s="935"/>
      <c r="CMO1" s="935"/>
      <c r="CMP1" s="935"/>
      <c r="CMQ1" s="935"/>
      <c r="CMR1" s="935"/>
      <c r="CMS1" s="935"/>
      <c r="CMT1" s="935"/>
      <c r="CMU1" s="935"/>
      <c r="CMV1" s="935"/>
      <c r="CMW1" s="935"/>
      <c r="CMX1" s="935"/>
      <c r="CMY1" s="935"/>
      <c r="CMZ1" s="935"/>
      <c r="CNA1" s="935"/>
      <c r="CNB1" s="935"/>
      <c r="CNC1" s="935"/>
      <c r="CND1" s="935"/>
      <c r="CNE1" s="935"/>
      <c r="CNF1" s="935"/>
      <c r="CNG1" s="935"/>
      <c r="CNH1" s="935"/>
      <c r="CNI1" s="935"/>
      <c r="CNJ1" s="935"/>
      <c r="CNK1" s="935"/>
      <c r="CNL1" s="935"/>
      <c r="CNM1" s="935"/>
      <c r="CNN1" s="935"/>
      <c r="CNO1" s="935"/>
      <c r="CNP1" s="935"/>
      <c r="CNQ1" s="935"/>
      <c r="CNR1" s="935"/>
      <c r="CNS1" s="935"/>
      <c r="CNT1" s="935"/>
      <c r="CNU1" s="935"/>
      <c r="CNV1" s="935"/>
      <c r="CNW1" s="935"/>
      <c r="CNX1" s="935"/>
      <c r="CNY1" s="935"/>
      <c r="CNZ1" s="935"/>
      <c r="COA1" s="935"/>
      <c r="COB1" s="935"/>
      <c r="COC1" s="935"/>
      <c r="COD1" s="935"/>
      <c r="COE1" s="935"/>
      <c r="COF1" s="935"/>
      <c r="COG1" s="935"/>
      <c r="COH1" s="935"/>
      <c r="COI1" s="935"/>
      <c r="COJ1" s="935"/>
      <c r="COK1" s="935"/>
      <c r="COL1" s="935"/>
      <c r="COM1" s="935"/>
      <c r="CON1" s="935"/>
      <c r="COO1" s="935"/>
      <c r="COP1" s="935"/>
      <c r="COQ1" s="935"/>
      <c r="COR1" s="935"/>
      <c r="COS1" s="935"/>
      <c r="COT1" s="935"/>
      <c r="COU1" s="935"/>
      <c r="COV1" s="935"/>
      <c r="COW1" s="935"/>
      <c r="COX1" s="935"/>
      <c r="COY1" s="935"/>
      <c r="COZ1" s="935"/>
      <c r="CPA1" s="935"/>
      <c r="CPB1" s="935"/>
      <c r="CPC1" s="935"/>
      <c r="CPD1" s="935"/>
      <c r="CPE1" s="935"/>
      <c r="CPF1" s="935"/>
      <c r="CPG1" s="935"/>
      <c r="CPH1" s="935"/>
      <c r="CPI1" s="935"/>
      <c r="CPJ1" s="935"/>
      <c r="CPK1" s="935"/>
      <c r="CPL1" s="935"/>
      <c r="CPM1" s="935"/>
      <c r="CPN1" s="935"/>
      <c r="CPO1" s="935"/>
      <c r="CPP1" s="935"/>
      <c r="CPQ1" s="935"/>
      <c r="CPR1" s="935"/>
      <c r="CPS1" s="935"/>
      <c r="CPT1" s="935"/>
      <c r="CPU1" s="935"/>
      <c r="CPV1" s="935"/>
      <c r="CPW1" s="935"/>
      <c r="CPX1" s="935"/>
      <c r="CPY1" s="935"/>
      <c r="CPZ1" s="935"/>
      <c r="CQA1" s="935"/>
      <c r="CQB1" s="935"/>
      <c r="CQC1" s="935"/>
      <c r="CQD1" s="935"/>
      <c r="CQE1" s="935"/>
      <c r="CQF1" s="935"/>
      <c r="CQG1" s="935"/>
      <c r="CQH1" s="935"/>
      <c r="CQI1" s="935"/>
      <c r="CQJ1" s="935"/>
      <c r="CQK1" s="935"/>
      <c r="CQL1" s="935"/>
      <c r="CQM1" s="935"/>
      <c r="CQN1" s="935"/>
      <c r="CQO1" s="935"/>
      <c r="CQP1" s="935"/>
      <c r="CQQ1" s="935"/>
      <c r="CQR1" s="935"/>
      <c r="CQS1" s="935"/>
      <c r="CQT1" s="935"/>
      <c r="CQU1" s="935"/>
      <c r="CQV1" s="935"/>
      <c r="CQW1" s="935"/>
      <c r="CQX1" s="935"/>
      <c r="CQY1" s="935"/>
      <c r="CQZ1" s="935"/>
      <c r="CRA1" s="935"/>
      <c r="CRB1" s="935"/>
      <c r="CRC1" s="935"/>
      <c r="CRD1" s="935"/>
      <c r="CRE1" s="935"/>
      <c r="CRF1" s="935"/>
      <c r="CRG1" s="935"/>
      <c r="CRH1" s="935"/>
      <c r="CRI1" s="935"/>
      <c r="CRJ1" s="935"/>
      <c r="CRK1" s="935"/>
      <c r="CRL1" s="935"/>
      <c r="CRM1" s="935"/>
      <c r="CRN1" s="935"/>
      <c r="CRO1" s="935"/>
      <c r="CRP1" s="935"/>
      <c r="CRQ1" s="935"/>
      <c r="CRR1" s="935"/>
      <c r="CRS1" s="935"/>
      <c r="CRT1" s="935"/>
      <c r="CRU1" s="935"/>
      <c r="CRV1" s="935"/>
      <c r="CRW1" s="935"/>
      <c r="CRX1" s="935"/>
      <c r="CRY1" s="935"/>
      <c r="CRZ1" s="935"/>
      <c r="CSA1" s="935"/>
      <c r="CSB1" s="935"/>
      <c r="CSC1" s="935"/>
      <c r="CSD1" s="935"/>
      <c r="CSE1" s="935"/>
      <c r="CSF1" s="935"/>
      <c r="CSG1" s="935"/>
      <c r="CSH1" s="935"/>
      <c r="CSI1" s="935"/>
      <c r="CSJ1" s="935"/>
      <c r="CSK1" s="935"/>
      <c r="CSL1" s="935"/>
      <c r="CSM1" s="935"/>
      <c r="CSN1" s="935"/>
      <c r="CSO1" s="935"/>
      <c r="CSP1" s="935"/>
      <c r="CSQ1" s="935"/>
      <c r="CSR1" s="935"/>
      <c r="CSS1" s="935"/>
      <c r="CST1" s="935"/>
      <c r="CSU1" s="935"/>
      <c r="CSV1" s="935"/>
      <c r="CSW1" s="935"/>
      <c r="CSX1" s="935"/>
      <c r="CSY1" s="935"/>
      <c r="CSZ1" s="935"/>
      <c r="CTA1" s="935"/>
      <c r="CTB1" s="935"/>
      <c r="CTC1" s="935"/>
      <c r="CTD1" s="935"/>
      <c r="CTE1" s="935"/>
      <c r="CTF1" s="935"/>
      <c r="CTG1" s="935"/>
      <c r="CTH1" s="935"/>
      <c r="CTI1" s="935"/>
      <c r="CTJ1" s="935"/>
      <c r="CTK1" s="935"/>
      <c r="CTL1" s="935"/>
      <c r="CTM1" s="935"/>
      <c r="CTN1" s="935"/>
      <c r="CTO1" s="935"/>
      <c r="CTP1" s="935"/>
      <c r="CTQ1" s="935"/>
      <c r="CTR1" s="935"/>
      <c r="CTS1" s="935"/>
      <c r="CTT1" s="935"/>
      <c r="CTU1" s="935"/>
      <c r="CTV1" s="935"/>
      <c r="CTW1" s="935"/>
      <c r="CTX1" s="935"/>
      <c r="CTY1" s="935"/>
      <c r="CTZ1" s="935"/>
      <c r="CUA1" s="935"/>
      <c r="CUB1" s="935"/>
      <c r="CUC1" s="935"/>
      <c r="CUD1" s="935"/>
      <c r="CUE1" s="935"/>
      <c r="CUF1" s="935"/>
      <c r="CUG1" s="935"/>
      <c r="CUH1" s="935"/>
      <c r="CUI1" s="935"/>
      <c r="CUJ1" s="935"/>
      <c r="CUK1" s="935"/>
      <c r="CUL1" s="935"/>
      <c r="CUM1" s="935"/>
      <c r="CUN1" s="935"/>
      <c r="CUO1" s="935"/>
      <c r="CUP1" s="935"/>
      <c r="CUQ1" s="935"/>
      <c r="CUR1" s="935"/>
      <c r="CUS1" s="935"/>
      <c r="CUT1" s="935"/>
      <c r="CUU1" s="935"/>
      <c r="CUV1" s="935"/>
      <c r="CUW1" s="935"/>
      <c r="CUX1" s="935"/>
      <c r="CUY1" s="935"/>
      <c r="CUZ1" s="935"/>
      <c r="CVA1" s="935"/>
      <c r="CVB1" s="935"/>
      <c r="CVC1" s="935"/>
      <c r="CVD1" s="935"/>
      <c r="CVE1" s="935"/>
      <c r="CVF1" s="935"/>
      <c r="CVG1" s="935"/>
      <c r="CVH1" s="935"/>
      <c r="CVI1" s="935"/>
      <c r="CVJ1" s="935"/>
      <c r="CVK1" s="935"/>
      <c r="CVL1" s="935"/>
      <c r="CVM1" s="935"/>
      <c r="CVN1" s="935"/>
      <c r="CVO1" s="935"/>
      <c r="CVP1" s="935"/>
      <c r="CVQ1" s="935"/>
      <c r="CVR1" s="935"/>
      <c r="CVS1" s="935"/>
      <c r="CVT1" s="935"/>
      <c r="CVU1" s="935"/>
      <c r="CVV1" s="935"/>
      <c r="CVW1" s="935"/>
      <c r="CVX1" s="935"/>
      <c r="CVY1" s="935"/>
      <c r="CVZ1" s="935"/>
      <c r="CWA1" s="935"/>
      <c r="CWB1" s="935"/>
      <c r="CWC1" s="935"/>
      <c r="CWD1" s="935"/>
      <c r="CWE1" s="935"/>
      <c r="CWF1" s="935"/>
      <c r="CWG1" s="935"/>
      <c r="CWH1" s="935"/>
      <c r="CWI1" s="935"/>
      <c r="CWJ1" s="935"/>
      <c r="CWK1" s="935"/>
      <c r="CWL1" s="935"/>
      <c r="CWM1" s="935"/>
      <c r="CWN1" s="935"/>
      <c r="CWO1" s="935"/>
      <c r="CWP1" s="935"/>
      <c r="CWQ1" s="935"/>
      <c r="CWR1" s="935"/>
      <c r="CWS1" s="935"/>
      <c r="CWT1" s="935"/>
      <c r="CWU1" s="935"/>
      <c r="CWV1" s="935"/>
      <c r="CWW1" s="935"/>
      <c r="CWX1" s="935"/>
      <c r="CWY1" s="935"/>
      <c r="CWZ1" s="935"/>
      <c r="CXA1" s="935"/>
      <c r="CXB1" s="935"/>
      <c r="CXC1" s="935"/>
      <c r="CXD1" s="935"/>
      <c r="CXE1" s="935"/>
      <c r="CXF1" s="935"/>
      <c r="CXG1" s="935"/>
      <c r="CXH1" s="935"/>
      <c r="CXI1" s="935"/>
      <c r="CXJ1" s="935"/>
      <c r="CXK1" s="935"/>
      <c r="CXL1" s="935"/>
      <c r="CXM1" s="935"/>
      <c r="CXN1" s="935"/>
      <c r="CXO1" s="935"/>
      <c r="CXP1" s="935"/>
      <c r="CXQ1" s="935"/>
      <c r="CXR1" s="935"/>
      <c r="CXS1" s="935"/>
      <c r="CXT1" s="935"/>
      <c r="CXU1" s="935"/>
      <c r="CXV1" s="935"/>
      <c r="CXW1" s="935"/>
      <c r="CXX1" s="935"/>
      <c r="CXY1" s="935"/>
      <c r="CXZ1" s="935"/>
      <c r="CYA1" s="935"/>
      <c r="CYB1" s="935"/>
      <c r="CYC1" s="935"/>
      <c r="CYD1" s="935"/>
      <c r="CYE1" s="935"/>
      <c r="CYF1" s="935"/>
      <c r="CYG1" s="935"/>
      <c r="CYH1" s="935"/>
      <c r="CYI1" s="935"/>
      <c r="CYJ1" s="935"/>
      <c r="CYK1" s="935"/>
      <c r="CYL1" s="935"/>
      <c r="CYM1" s="935"/>
      <c r="CYN1" s="935"/>
      <c r="CYO1" s="935"/>
      <c r="CYP1" s="935"/>
      <c r="CYQ1" s="935"/>
      <c r="CYR1" s="935"/>
      <c r="CYS1" s="935"/>
      <c r="CYT1" s="935"/>
      <c r="CYU1" s="935"/>
      <c r="CYV1" s="935"/>
      <c r="CYW1" s="935"/>
      <c r="CYX1" s="935"/>
      <c r="CYY1" s="935"/>
      <c r="CYZ1" s="935"/>
      <c r="CZA1" s="935"/>
      <c r="CZB1" s="935"/>
      <c r="CZC1" s="935"/>
      <c r="CZD1" s="935"/>
      <c r="CZE1" s="935"/>
      <c r="CZF1" s="935"/>
      <c r="CZG1" s="935"/>
      <c r="CZH1" s="935"/>
      <c r="CZI1" s="935"/>
      <c r="CZJ1" s="935"/>
      <c r="CZK1" s="935"/>
      <c r="CZL1" s="935"/>
      <c r="CZM1" s="935"/>
      <c r="CZN1" s="935"/>
      <c r="CZO1" s="935"/>
      <c r="CZP1" s="935"/>
      <c r="CZQ1" s="935"/>
      <c r="CZR1" s="935"/>
      <c r="CZS1" s="935"/>
      <c r="CZT1" s="935"/>
      <c r="CZU1" s="935"/>
      <c r="CZV1" s="935"/>
      <c r="CZW1" s="935"/>
      <c r="CZX1" s="935"/>
      <c r="CZY1" s="935"/>
      <c r="CZZ1" s="935"/>
      <c r="DAA1" s="935"/>
      <c r="DAB1" s="935"/>
      <c r="DAC1" s="935"/>
      <c r="DAD1" s="935"/>
      <c r="DAE1" s="935"/>
      <c r="DAF1" s="935"/>
      <c r="DAG1" s="935"/>
      <c r="DAH1" s="935"/>
      <c r="DAI1" s="935"/>
      <c r="DAJ1" s="935"/>
      <c r="DAK1" s="935"/>
      <c r="DAL1" s="935"/>
      <c r="DAM1" s="935"/>
      <c r="DAN1" s="935"/>
      <c r="DAO1" s="935"/>
      <c r="DAP1" s="935"/>
      <c r="DAQ1" s="935"/>
      <c r="DAR1" s="935"/>
      <c r="DAS1" s="935"/>
      <c r="DAT1" s="935"/>
      <c r="DAU1" s="935"/>
      <c r="DAV1" s="935"/>
      <c r="DAW1" s="935"/>
      <c r="DAX1" s="935"/>
      <c r="DAY1" s="935"/>
      <c r="DAZ1" s="935"/>
      <c r="DBA1" s="935"/>
      <c r="DBB1" s="935"/>
      <c r="DBC1" s="935"/>
      <c r="DBD1" s="935"/>
      <c r="DBE1" s="935"/>
      <c r="DBF1" s="935"/>
      <c r="DBG1" s="935"/>
      <c r="DBH1" s="935"/>
      <c r="DBI1" s="935"/>
      <c r="DBJ1" s="935"/>
      <c r="DBK1" s="935"/>
      <c r="DBL1" s="935"/>
      <c r="DBM1" s="935"/>
      <c r="DBN1" s="935"/>
      <c r="DBO1" s="935"/>
      <c r="DBP1" s="935"/>
      <c r="DBQ1" s="935"/>
      <c r="DBR1" s="935"/>
      <c r="DBS1" s="935"/>
      <c r="DBT1" s="935"/>
      <c r="DBU1" s="935"/>
      <c r="DBV1" s="935"/>
      <c r="DBW1" s="935"/>
      <c r="DBX1" s="935"/>
      <c r="DBY1" s="935"/>
      <c r="DBZ1" s="935"/>
      <c r="DCA1" s="935"/>
      <c r="DCB1" s="935"/>
      <c r="DCC1" s="935"/>
      <c r="DCD1" s="935"/>
      <c r="DCE1" s="935"/>
      <c r="DCF1" s="935"/>
      <c r="DCG1" s="935"/>
      <c r="DCH1" s="935"/>
      <c r="DCI1" s="935"/>
      <c r="DCJ1" s="935"/>
      <c r="DCK1" s="935"/>
      <c r="DCL1" s="935"/>
      <c r="DCM1" s="935"/>
      <c r="DCN1" s="935"/>
      <c r="DCO1" s="935"/>
      <c r="DCP1" s="935"/>
      <c r="DCQ1" s="935"/>
      <c r="DCR1" s="935"/>
      <c r="DCS1" s="935"/>
      <c r="DCT1" s="935"/>
      <c r="DCU1" s="935"/>
      <c r="DCV1" s="935"/>
      <c r="DCW1" s="935"/>
      <c r="DCX1" s="935"/>
      <c r="DCY1" s="935"/>
      <c r="DCZ1" s="935"/>
      <c r="DDA1" s="935"/>
      <c r="DDB1" s="935"/>
      <c r="DDC1" s="935"/>
      <c r="DDD1" s="935"/>
      <c r="DDE1" s="935"/>
      <c r="DDF1" s="935"/>
      <c r="DDG1" s="935"/>
      <c r="DDH1" s="935"/>
      <c r="DDI1" s="935"/>
      <c r="DDJ1" s="935"/>
      <c r="DDK1" s="935"/>
      <c r="DDL1" s="935"/>
      <c r="DDM1" s="935"/>
      <c r="DDN1" s="935"/>
      <c r="DDO1" s="935"/>
      <c r="DDP1" s="935"/>
      <c r="DDQ1" s="935"/>
      <c r="DDR1" s="935"/>
      <c r="DDS1" s="935"/>
      <c r="DDT1" s="935"/>
      <c r="DDU1" s="935"/>
      <c r="DDV1" s="935"/>
      <c r="DDW1" s="935"/>
      <c r="DDX1" s="935"/>
      <c r="DDY1" s="935"/>
      <c r="DDZ1" s="935"/>
      <c r="DEA1" s="935"/>
      <c r="DEB1" s="935"/>
      <c r="DEC1" s="935"/>
      <c r="DED1" s="935"/>
      <c r="DEE1" s="935"/>
      <c r="DEF1" s="935"/>
      <c r="DEG1" s="935"/>
      <c r="DEH1" s="935"/>
      <c r="DEI1" s="935"/>
      <c r="DEJ1" s="935"/>
      <c r="DEK1" s="935"/>
      <c r="DEL1" s="935"/>
      <c r="DEM1" s="935"/>
      <c r="DEN1" s="935"/>
      <c r="DEO1" s="935"/>
      <c r="DEP1" s="935"/>
      <c r="DEQ1" s="935"/>
      <c r="DER1" s="935"/>
      <c r="DES1" s="935"/>
      <c r="DET1" s="935"/>
      <c r="DEU1" s="935"/>
      <c r="DEV1" s="935"/>
      <c r="DEW1" s="935"/>
      <c r="DEX1" s="935"/>
      <c r="DEY1" s="935"/>
      <c r="DEZ1" s="935"/>
      <c r="DFA1" s="935"/>
      <c r="DFB1" s="935"/>
      <c r="DFC1" s="935"/>
      <c r="DFD1" s="935"/>
      <c r="DFE1" s="935"/>
      <c r="DFF1" s="935"/>
      <c r="DFG1" s="935"/>
      <c r="DFH1" s="935"/>
      <c r="DFI1" s="935"/>
      <c r="DFJ1" s="935"/>
      <c r="DFK1" s="935"/>
      <c r="DFL1" s="935"/>
      <c r="DFM1" s="935"/>
      <c r="DFN1" s="935"/>
      <c r="DFO1" s="935"/>
      <c r="DFP1" s="935"/>
      <c r="DFQ1" s="935"/>
      <c r="DFR1" s="935"/>
      <c r="DFS1" s="935"/>
      <c r="DFT1" s="935"/>
      <c r="DFU1" s="935"/>
      <c r="DFV1" s="935"/>
      <c r="DFW1" s="935"/>
      <c r="DFX1" s="935"/>
      <c r="DFY1" s="935"/>
      <c r="DFZ1" s="935"/>
      <c r="DGA1" s="935"/>
      <c r="DGB1" s="935"/>
      <c r="DGC1" s="935"/>
      <c r="DGD1" s="935"/>
      <c r="DGE1" s="935"/>
      <c r="DGF1" s="935"/>
      <c r="DGG1" s="935"/>
      <c r="DGH1" s="935"/>
      <c r="DGI1" s="935"/>
      <c r="DGJ1" s="935"/>
      <c r="DGK1" s="935"/>
      <c r="DGL1" s="935"/>
      <c r="DGM1" s="935"/>
      <c r="DGN1" s="935"/>
      <c r="DGO1" s="935"/>
      <c r="DGP1" s="935"/>
      <c r="DGQ1" s="935"/>
      <c r="DGR1" s="935"/>
      <c r="DGS1" s="935"/>
      <c r="DGT1" s="935"/>
      <c r="DGU1" s="935"/>
      <c r="DGV1" s="935"/>
      <c r="DGW1" s="935"/>
      <c r="DGX1" s="935"/>
      <c r="DGY1" s="935"/>
      <c r="DGZ1" s="935"/>
      <c r="DHA1" s="935"/>
      <c r="DHB1" s="935"/>
      <c r="DHC1" s="935"/>
      <c r="DHD1" s="935"/>
      <c r="DHE1" s="935"/>
      <c r="DHF1" s="935"/>
      <c r="DHG1" s="935"/>
      <c r="DHH1" s="935"/>
      <c r="DHI1" s="935"/>
      <c r="DHJ1" s="935"/>
      <c r="DHK1" s="935"/>
      <c r="DHL1" s="935"/>
      <c r="DHM1" s="935"/>
      <c r="DHN1" s="935"/>
      <c r="DHO1" s="935"/>
      <c r="DHP1" s="935"/>
      <c r="DHQ1" s="935"/>
      <c r="DHR1" s="935"/>
      <c r="DHS1" s="935"/>
      <c r="DHT1" s="935"/>
      <c r="DHU1" s="935"/>
      <c r="DHV1" s="935"/>
      <c r="DHW1" s="935"/>
      <c r="DHX1" s="935"/>
      <c r="DHY1" s="935"/>
      <c r="DHZ1" s="935"/>
      <c r="DIA1" s="935"/>
      <c r="DIB1" s="935"/>
      <c r="DIC1" s="935"/>
      <c r="DID1" s="935"/>
      <c r="DIE1" s="935"/>
      <c r="DIF1" s="935"/>
      <c r="DIG1" s="935"/>
      <c r="DIH1" s="935"/>
      <c r="DII1" s="935"/>
      <c r="DIJ1" s="935"/>
      <c r="DIK1" s="935"/>
      <c r="DIL1" s="935"/>
      <c r="DIM1" s="935"/>
      <c r="DIN1" s="935"/>
      <c r="DIO1" s="935"/>
      <c r="DIP1" s="935"/>
      <c r="DIQ1" s="935"/>
      <c r="DIR1" s="935"/>
      <c r="DIS1" s="935"/>
      <c r="DIT1" s="935"/>
      <c r="DIU1" s="935"/>
      <c r="DIV1" s="935"/>
      <c r="DIW1" s="935"/>
      <c r="DIX1" s="935"/>
      <c r="DIY1" s="935"/>
      <c r="DIZ1" s="935"/>
      <c r="DJA1" s="935"/>
      <c r="DJB1" s="935"/>
      <c r="DJC1" s="935"/>
      <c r="DJD1" s="935"/>
      <c r="DJE1" s="935"/>
      <c r="DJF1" s="935"/>
      <c r="DJG1" s="935"/>
      <c r="DJH1" s="935"/>
      <c r="DJI1" s="935"/>
      <c r="DJJ1" s="935"/>
      <c r="DJK1" s="935"/>
      <c r="DJL1" s="935"/>
      <c r="DJM1" s="935"/>
      <c r="DJN1" s="935"/>
      <c r="DJO1" s="935"/>
      <c r="DJP1" s="935"/>
      <c r="DJQ1" s="935"/>
      <c r="DJR1" s="935"/>
      <c r="DJS1" s="935"/>
      <c r="DJT1" s="935"/>
      <c r="DJU1" s="935"/>
      <c r="DJV1" s="935"/>
      <c r="DJW1" s="935"/>
      <c r="DJX1" s="935"/>
      <c r="DJY1" s="935"/>
      <c r="DJZ1" s="935"/>
      <c r="DKA1" s="935"/>
      <c r="DKB1" s="935"/>
      <c r="DKC1" s="935"/>
      <c r="DKD1" s="935"/>
      <c r="DKE1" s="935"/>
      <c r="DKF1" s="935"/>
      <c r="DKG1" s="935"/>
      <c r="DKH1" s="935"/>
      <c r="DKI1" s="935"/>
      <c r="DKJ1" s="935"/>
      <c r="DKK1" s="935"/>
      <c r="DKL1" s="935"/>
      <c r="DKM1" s="935"/>
      <c r="DKN1" s="935"/>
      <c r="DKO1" s="935"/>
      <c r="DKP1" s="935"/>
      <c r="DKQ1" s="935"/>
      <c r="DKR1" s="935"/>
      <c r="DKS1" s="935"/>
      <c r="DKT1" s="935"/>
      <c r="DKU1" s="935"/>
      <c r="DKV1" s="935"/>
      <c r="DKW1" s="935"/>
      <c r="DKX1" s="935"/>
      <c r="DKY1" s="935"/>
      <c r="DKZ1" s="935"/>
      <c r="DLA1" s="935"/>
      <c r="DLB1" s="935"/>
      <c r="DLC1" s="935"/>
      <c r="DLD1" s="935"/>
      <c r="DLE1" s="935"/>
      <c r="DLF1" s="935"/>
      <c r="DLG1" s="935"/>
      <c r="DLH1" s="935"/>
      <c r="DLI1" s="935"/>
      <c r="DLJ1" s="935"/>
      <c r="DLK1" s="935"/>
      <c r="DLL1" s="935"/>
      <c r="DLM1" s="935"/>
      <c r="DLN1" s="935"/>
      <c r="DLO1" s="935"/>
      <c r="DLP1" s="935"/>
      <c r="DLQ1" s="935"/>
      <c r="DLR1" s="935"/>
      <c r="DLS1" s="935"/>
      <c r="DLT1" s="935"/>
      <c r="DLU1" s="935"/>
      <c r="DLV1" s="935"/>
      <c r="DLW1" s="935"/>
      <c r="DLX1" s="935"/>
      <c r="DLY1" s="935"/>
      <c r="DLZ1" s="935"/>
      <c r="DMA1" s="935"/>
      <c r="DMB1" s="935"/>
      <c r="DMC1" s="935"/>
      <c r="DMD1" s="935"/>
      <c r="DME1" s="935"/>
      <c r="DMF1" s="935"/>
      <c r="DMG1" s="935"/>
      <c r="DMH1" s="935"/>
      <c r="DMI1" s="935"/>
      <c r="DMJ1" s="935"/>
      <c r="DMK1" s="935"/>
      <c r="DML1" s="935"/>
      <c r="DMM1" s="935"/>
      <c r="DMN1" s="935"/>
      <c r="DMO1" s="935"/>
      <c r="DMP1" s="935"/>
      <c r="DMQ1" s="935"/>
      <c r="DMR1" s="935"/>
      <c r="DMS1" s="935"/>
      <c r="DMT1" s="935"/>
      <c r="DMU1" s="935"/>
      <c r="DMV1" s="935"/>
      <c r="DMW1" s="935"/>
      <c r="DMX1" s="935"/>
      <c r="DMY1" s="935"/>
      <c r="DMZ1" s="935"/>
      <c r="DNA1" s="935"/>
      <c r="DNB1" s="935"/>
      <c r="DNC1" s="935"/>
      <c r="DND1" s="935"/>
      <c r="DNE1" s="935"/>
      <c r="DNF1" s="935"/>
      <c r="DNG1" s="935"/>
      <c r="DNH1" s="935"/>
      <c r="DNI1" s="935"/>
      <c r="DNJ1" s="935"/>
      <c r="DNK1" s="935"/>
      <c r="DNL1" s="935"/>
      <c r="DNM1" s="935"/>
      <c r="DNN1" s="935"/>
      <c r="DNO1" s="935"/>
      <c r="DNP1" s="935"/>
      <c r="DNQ1" s="935"/>
      <c r="DNR1" s="935"/>
      <c r="DNS1" s="935"/>
      <c r="DNT1" s="935"/>
      <c r="DNU1" s="935"/>
      <c r="DNV1" s="935"/>
      <c r="DNW1" s="935"/>
      <c r="DNX1" s="935"/>
      <c r="DNY1" s="935"/>
      <c r="DNZ1" s="935"/>
      <c r="DOA1" s="935"/>
      <c r="DOB1" s="935"/>
      <c r="DOC1" s="935"/>
      <c r="DOD1" s="935"/>
      <c r="DOE1" s="935"/>
      <c r="DOF1" s="935"/>
      <c r="DOG1" s="935"/>
      <c r="DOH1" s="935"/>
      <c r="DOI1" s="935"/>
      <c r="DOJ1" s="935"/>
      <c r="DOK1" s="935"/>
      <c r="DOL1" s="935"/>
      <c r="DOM1" s="935"/>
      <c r="DON1" s="935"/>
      <c r="DOO1" s="935"/>
      <c r="DOP1" s="935"/>
      <c r="DOQ1" s="935"/>
      <c r="DOR1" s="935"/>
      <c r="DOS1" s="935"/>
      <c r="DOT1" s="935"/>
      <c r="DOU1" s="935"/>
      <c r="DOV1" s="935"/>
      <c r="DOW1" s="935"/>
      <c r="DOX1" s="935"/>
      <c r="DOY1" s="935"/>
      <c r="DOZ1" s="935"/>
      <c r="DPA1" s="935"/>
      <c r="DPB1" s="935"/>
      <c r="DPC1" s="935"/>
      <c r="DPD1" s="935"/>
      <c r="DPE1" s="935"/>
      <c r="DPF1" s="935"/>
      <c r="DPG1" s="935"/>
      <c r="DPH1" s="935"/>
      <c r="DPI1" s="935"/>
      <c r="DPJ1" s="935"/>
      <c r="DPK1" s="935"/>
      <c r="DPL1" s="935"/>
      <c r="DPM1" s="935"/>
      <c r="DPN1" s="935"/>
      <c r="DPO1" s="935"/>
      <c r="DPP1" s="935"/>
      <c r="DPQ1" s="935"/>
      <c r="DPR1" s="935"/>
      <c r="DPS1" s="935"/>
      <c r="DPT1" s="935"/>
      <c r="DPU1" s="935"/>
      <c r="DPV1" s="935"/>
      <c r="DPW1" s="935"/>
      <c r="DPX1" s="935"/>
      <c r="DPY1" s="935"/>
      <c r="DPZ1" s="935"/>
      <c r="DQA1" s="935"/>
      <c r="DQB1" s="935"/>
      <c r="DQC1" s="935"/>
      <c r="DQD1" s="935"/>
      <c r="DQE1" s="935"/>
      <c r="DQF1" s="935"/>
      <c r="DQG1" s="935"/>
      <c r="DQH1" s="935"/>
      <c r="DQI1" s="935"/>
      <c r="DQJ1" s="935"/>
      <c r="DQK1" s="935"/>
      <c r="DQL1" s="935"/>
      <c r="DQM1" s="935"/>
      <c r="DQN1" s="935"/>
      <c r="DQO1" s="935"/>
      <c r="DQP1" s="935"/>
      <c r="DQQ1" s="935"/>
      <c r="DQR1" s="935"/>
      <c r="DQS1" s="935"/>
      <c r="DQT1" s="935"/>
      <c r="DQU1" s="935"/>
      <c r="DQV1" s="935"/>
      <c r="DQW1" s="935"/>
      <c r="DQX1" s="935"/>
      <c r="DQY1" s="935"/>
      <c r="DQZ1" s="935"/>
      <c r="DRA1" s="935"/>
      <c r="DRB1" s="935"/>
      <c r="DRC1" s="935"/>
      <c r="DRD1" s="935"/>
      <c r="DRE1" s="935"/>
      <c r="DRF1" s="935"/>
      <c r="DRG1" s="935"/>
      <c r="DRH1" s="935"/>
      <c r="DRI1" s="935"/>
      <c r="DRJ1" s="935"/>
      <c r="DRK1" s="935"/>
      <c r="DRL1" s="935"/>
      <c r="DRM1" s="935"/>
      <c r="DRN1" s="935"/>
      <c r="DRO1" s="935"/>
      <c r="DRP1" s="935"/>
      <c r="DRQ1" s="935"/>
      <c r="DRR1" s="935"/>
      <c r="DRS1" s="935"/>
      <c r="DRT1" s="935"/>
      <c r="DRU1" s="935"/>
      <c r="DRV1" s="935"/>
      <c r="DRW1" s="935"/>
      <c r="DRX1" s="935"/>
      <c r="DRY1" s="935"/>
      <c r="DRZ1" s="935"/>
      <c r="DSA1" s="935"/>
      <c r="DSB1" s="935"/>
      <c r="DSC1" s="935"/>
      <c r="DSD1" s="935"/>
      <c r="DSE1" s="935"/>
      <c r="DSF1" s="935"/>
      <c r="DSG1" s="935"/>
      <c r="DSH1" s="935"/>
      <c r="DSI1" s="935"/>
      <c r="DSJ1" s="935"/>
      <c r="DSK1" s="935"/>
      <c r="DSL1" s="935"/>
      <c r="DSM1" s="935"/>
      <c r="DSN1" s="935"/>
      <c r="DSO1" s="935"/>
      <c r="DSP1" s="935"/>
      <c r="DSQ1" s="935"/>
      <c r="DSR1" s="935"/>
      <c r="DSS1" s="935"/>
      <c r="DST1" s="935"/>
      <c r="DSU1" s="935"/>
      <c r="DSV1" s="935"/>
      <c r="DSW1" s="935"/>
      <c r="DSX1" s="935"/>
      <c r="DSY1" s="935"/>
      <c r="DSZ1" s="935"/>
      <c r="DTA1" s="935"/>
      <c r="DTB1" s="935"/>
      <c r="DTC1" s="935"/>
      <c r="DTD1" s="935"/>
      <c r="DTE1" s="935"/>
      <c r="DTF1" s="935"/>
      <c r="DTG1" s="935"/>
      <c r="DTH1" s="935"/>
      <c r="DTI1" s="935"/>
      <c r="DTJ1" s="935"/>
      <c r="DTK1" s="935"/>
      <c r="DTL1" s="935"/>
      <c r="DTM1" s="935"/>
      <c r="DTN1" s="935"/>
      <c r="DTO1" s="935"/>
      <c r="DTP1" s="935"/>
      <c r="DTQ1" s="935"/>
      <c r="DTR1" s="935"/>
      <c r="DTS1" s="935"/>
      <c r="DTT1" s="935"/>
      <c r="DTU1" s="935"/>
      <c r="DTV1" s="935"/>
      <c r="DTW1" s="935"/>
      <c r="DTX1" s="935"/>
      <c r="DTY1" s="935"/>
      <c r="DTZ1" s="935"/>
      <c r="DUA1" s="935"/>
      <c r="DUB1" s="935"/>
      <c r="DUC1" s="935"/>
      <c r="DUD1" s="935"/>
      <c r="DUE1" s="935"/>
      <c r="DUF1" s="935"/>
      <c r="DUG1" s="935"/>
      <c r="DUH1" s="935"/>
      <c r="DUI1" s="935"/>
      <c r="DUJ1" s="935"/>
      <c r="DUK1" s="935"/>
      <c r="DUL1" s="935"/>
      <c r="DUM1" s="935"/>
      <c r="DUN1" s="935"/>
      <c r="DUO1" s="935"/>
      <c r="DUP1" s="935"/>
      <c r="DUQ1" s="935"/>
      <c r="DUR1" s="935"/>
      <c r="DUS1" s="935"/>
      <c r="DUT1" s="935"/>
      <c r="DUU1" s="935"/>
      <c r="DUV1" s="935"/>
      <c r="DUW1" s="935"/>
      <c r="DUX1" s="935"/>
      <c r="DUY1" s="935"/>
      <c r="DUZ1" s="935"/>
      <c r="DVA1" s="935"/>
      <c r="DVB1" s="935"/>
      <c r="DVC1" s="935"/>
      <c r="DVD1" s="935"/>
      <c r="DVE1" s="935"/>
      <c r="DVF1" s="935"/>
      <c r="DVG1" s="935"/>
      <c r="DVH1" s="935"/>
      <c r="DVI1" s="935"/>
      <c r="DVJ1" s="935"/>
      <c r="DVK1" s="935"/>
      <c r="DVL1" s="935"/>
      <c r="DVM1" s="935"/>
      <c r="DVN1" s="935"/>
      <c r="DVO1" s="935"/>
      <c r="DVP1" s="935"/>
      <c r="DVQ1" s="935"/>
      <c r="DVR1" s="935"/>
      <c r="DVS1" s="935"/>
      <c r="DVT1" s="935"/>
      <c r="DVU1" s="935"/>
      <c r="DVV1" s="935"/>
      <c r="DVW1" s="935"/>
      <c r="DVX1" s="935"/>
      <c r="DVY1" s="935"/>
      <c r="DVZ1" s="935"/>
      <c r="DWA1" s="935"/>
      <c r="DWB1" s="935"/>
      <c r="DWC1" s="935"/>
      <c r="DWD1" s="935"/>
      <c r="DWE1" s="935"/>
      <c r="DWF1" s="935"/>
      <c r="DWG1" s="935"/>
      <c r="DWH1" s="935"/>
      <c r="DWI1" s="935"/>
      <c r="DWJ1" s="935"/>
      <c r="DWK1" s="935"/>
      <c r="DWL1" s="935"/>
      <c r="DWM1" s="935"/>
      <c r="DWN1" s="935"/>
      <c r="DWO1" s="935"/>
      <c r="DWP1" s="935"/>
      <c r="DWQ1" s="935"/>
      <c r="DWR1" s="935"/>
      <c r="DWS1" s="935"/>
      <c r="DWT1" s="935"/>
      <c r="DWU1" s="935"/>
      <c r="DWV1" s="935"/>
      <c r="DWW1" s="935"/>
      <c r="DWX1" s="935"/>
      <c r="DWY1" s="935"/>
      <c r="DWZ1" s="935"/>
      <c r="DXA1" s="935"/>
      <c r="DXB1" s="935"/>
      <c r="DXC1" s="935"/>
      <c r="DXD1" s="935"/>
      <c r="DXE1" s="935"/>
      <c r="DXF1" s="935"/>
      <c r="DXG1" s="935"/>
      <c r="DXH1" s="935"/>
      <c r="DXI1" s="935"/>
      <c r="DXJ1" s="935"/>
      <c r="DXK1" s="935"/>
      <c r="DXL1" s="935"/>
      <c r="DXM1" s="935"/>
      <c r="DXN1" s="935"/>
      <c r="DXO1" s="935"/>
      <c r="DXP1" s="935"/>
      <c r="DXQ1" s="935"/>
      <c r="DXR1" s="935"/>
      <c r="DXS1" s="935"/>
      <c r="DXT1" s="935"/>
      <c r="DXU1" s="935"/>
      <c r="DXV1" s="935"/>
      <c r="DXW1" s="935"/>
      <c r="DXX1" s="935"/>
      <c r="DXY1" s="935"/>
      <c r="DXZ1" s="935"/>
      <c r="DYA1" s="935"/>
      <c r="DYB1" s="935"/>
      <c r="DYC1" s="935"/>
      <c r="DYD1" s="935"/>
      <c r="DYE1" s="935"/>
      <c r="DYF1" s="935"/>
      <c r="DYG1" s="935"/>
      <c r="DYH1" s="935"/>
      <c r="DYI1" s="935"/>
      <c r="DYJ1" s="935"/>
      <c r="DYK1" s="935"/>
      <c r="DYL1" s="935"/>
      <c r="DYM1" s="935"/>
      <c r="DYN1" s="935"/>
      <c r="DYO1" s="935"/>
      <c r="DYP1" s="935"/>
      <c r="DYQ1" s="935"/>
      <c r="DYR1" s="935"/>
      <c r="DYS1" s="935"/>
      <c r="DYT1" s="935"/>
      <c r="DYU1" s="935"/>
      <c r="DYV1" s="935"/>
      <c r="DYW1" s="935"/>
      <c r="DYX1" s="935"/>
      <c r="DYY1" s="935"/>
      <c r="DYZ1" s="935"/>
      <c r="DZA1" s="935"/>
      <c r="DZB1" s="935"/>
      <c r="DZC1" s="935"/>
      <c r="DZD1" s="935"/>
      <c r="DZE1" s="935"/>
      <c r="DZF1" s="935"/>
      <c r="DZG1" s="935"/>
      <c r="DZH1" s="935"/>
      <c r="DZI1" s="935"/>
      <c r="DZJ1" s="935"/>
      <c r="DZK1" s="935"/>
      <c r="DZL1" s="935"/>
      <c r="DZM1" s="935"/>
      <c r="DZN1" s="935"/>
      <c r="DZO1" s="935"/>
      <c r="DZP1" s="935"/>
      <c r="DZQ1" s="935"/>
      <c r="DZR1" s="935"/>
      <c r="DZS1" s="935"/>
      <c r="DZT1" s="935"/>
      <c r="DZU1" s="935"/>
      <c r="DZV1" s="935"/>
      <c r="DZW1" s="935"/>
      <c r="DZX1" s="935"/>
      <c r="DZY1" s="935"/>
      <c r="DZZ1" s="935"/>
      <c r="EAA1" s="935"/>
      <c r="EAB1" s="935"/>
      <c r="EAC1" s="935"/>
      <c r="EAD1" s="935"/>
      <c r="EAE1" s="935"/>
      <c r="EAF1" s="935"/>
      <c r="EAG1" s="935"/>
      <c r="EAH1" s="935"/>
      <c r="EAI1" s="935"/>
      <c r="EAJ1" s="935"/>
      <c r="EAK1" s="935"/>
      <c r="EAL1" s="935"/>
      <c r="EAM1" s="935"/>
      <c r="EAN1" s="935"/>
      <c r="EAO1" s="935"/>
      <c r="EAP1" s="935"/>
      <c r="EAQ1" s="935"/>
      <c r="EAR1" s="935"/>
      <c r="EAS1" s="935"/>
      <c r="EAT1" s="935"/>
      <c r="EAU1" s="935"/>
      <c r="EAV1" s="935"/>
      <c r="EAW1" s="935"/>
      <c r="EAX1" s="935"/>
      <c r="EAY1" s="935"/>
      <c r="EAZ1" s="935"/>
      <c r="EBA1" s="935"/>
      <c r="EBB1" s="935"/>
      <c r="EBC1" s="935"/>
      <c r="EBD1" s="935"/>
      <c r="EBE1" s="935"/>
      <c r="EBF1" s="935"/>
      <c r="EBG1" s="935"/>
      <c r="EBH1" s="935"/>
      <c r="EBI1" s="935"/>
      <c r="EBJ1" s="935"/>
      <c r="EBK1" s="935"/>
      <c r="EBL1" s="935"/>
      <c r="EBM1" s="935"/>
      <c r="EBN1" s="935"/>
      <c r="EBO1" s="935"/>
      <c r="EBP1" s="935"/>
      <c r="EBQ1" s="935"/>
      <c r="EBR1" s="935"/>
      <c r="EBS1" s="935"/>
      <c r="EBT1" s="935"/>
      <c r="EBU1" s="935"/>
      <c r="EBV1" s="935"/>
      <c r="EBW1" s="935"/>
      <c r="EBX1" s="935"/>
      <c r="EBY1" s="935"/>
      <c r="EBZ1" s="935"/>
      <c r="ECA1" s="935"/>
      <c r="ECB1" s="935"/>
      <c r="ECC1" s="935"/>
      <c r="ECD1" s="935"/>
      <c r="ECE1" s="935"/>
      <c r="ECF1" s="935"/>
      <c r="ECG1" s="935"/>
      <c r="ECH1" s="935"/>
      <c r="ECI1" s="935"/>
      <c r="ECJ1" s="935"/>
      <c r="ECK1" s="935"/>
      <c r="ECL1" s="935"/>
      <c r="ECM1" s="935"/>
      <c r="ECN1" s="935"/>
      <c r="ECO1" s="935"/>
      <c r="ECP1" s="935"/>
      <c r="ECQ1" s="935"/>
      <c r="ECR1" s="935"/>
      <c r="ECS1" s="935"/>
      <c r="ECT1" s="935"/>
      <c r="ECU1" s="935"/>
      <c r="ECV1" s="935"/>
      <c r="ECW1" s="935"/>
      <c r="ECX1" s="935"/>
      <c r="ECY1" s="935"/>
      <c r="ECZ1" s="935"/>
      <c r="EDA1" s="935"/>
      <c r="EDB1" s="935"/>
      <c r="EDC1" s="935"/>
      <c r="EDD1" s="935"/>
      <c r="EDE1" s="935"/>
      <c r="EDF1" s="935"/>
      <c r="EDG1" s="935"/>
      <c r="EDH1" s="935"/>
      <c r="EDI1" s="935"/>
      <c r="EDJ1" s="935"/>
      <c r="EDK1" s="935"/>
      <c r="EDL1" s="935"/>
      <c r="EDM1" s="935"/>
      <c r="EDN1" s="935"/>
      <c r="EDO1" s="935"/>
      <c r="EDP1" s="935"/>
      <c r="EDQ1" s="935"/>
      <c r="EDR1" s="935"/>
      <c r="EDS1" s="935"/>
      <c r="EDT1" s="935"/>
      <c r="EDU1" s="935"/>
      <c r="EDV1" s="935"/>
      <c r="EDW1" s="935"/>
      <c r="EDX1" s="935"/>
      <c r="EDY1" s="935"/>
      <c r="EDZ1" s="935"/>
      <c r="EEA1" s="935"/>
      <c r="EEB1" s="935"/>
      <c r="EEC1" s="935"/>
      <c r="EED1" s="935"/>
      <c r="EEE1" s="935"/>
      <c r="EEF1" s="935"/>
      <c r="EEG1" s="935"/>
      <c r="EEH1" s="935"/>
      <c r="EEI1" s="935"/>
      <c r="EEJ1" s="935"/>
      <c r="EEK1" s="935"/>
      <c r="EEL1" s="935"/>
      <c r="EEM1" s="935"/>
      <c r="EEN1" s="935"/>
      <c r="EEO1" s="935"/>
      <c r="EEP1" s="935"/>
      <c r="EEQ1" s="935"/>
      <c r="EER1" s="935"/>
      <c r="EES1" s="935"/>
      <c r="EET1" s="935"/>
      <c r="EEU1" s="935"/>
      <c r="EEV1" s="935"/>
      <c r="EEW1" s="935"/>
      <c r="EEX1" s="935"/>
      <c r="EEY1" s="935"/>
      <c r="EEZ1" s="935"/>
      <c r="EFA1" s="935"/>
      <c r="EFB1" s="935"/>
      <c r="EFC1" s="935"/>
      <c r="EFD1" s="935"/>
      <c r="EFE1" s="935"/>
      <c r="EFF1" s="935"/>
      <c r="EFG1" s="935"/>
      <c r="EFH1" s="935"/>
      <c r="EFI1" s="935"/>
      <c r="EFJ1" s="935"/>
      <c r="EFK1" s="935"/>
      <c r="EFL1" s="935"/>
      <c r="EFM1" s="935"/>
      <c r="EFN1" s="935"/>
      <c r="EFO1" s="935"/>
      <c r="EFP1" s="935"/>
      <c r="EFQ1" s="935"/>
      <c r="EFR1" s="935"/>
      <c r="EFS1" s="935"/>
      <c r="EFT1" s="935"/>
      <c r="EFU1" s="935"/>
      <c r="EFV1" s="935"/>
      <c r="EFW1" s="935"/>
      <c r="EFX1" s="935"/>
      <c r="EFY1" s="935"/>
      <c r="EFZ1" s="935"/>
      <c r="EGA1" s="935"/>
      <c r="EGB1" s="935"/>
      <c r="EGC1" s="935"/>
      <c r="EGD1" s="935"/>
      <c r="EGE1" s="935"/>
      <c r="EGF1" s="935"/>
      <c r="EGG1" s="935"/>
      <c r="EGH1" s="935"/>
      <c r="EGI1" s="935"/>
      <c r="EGJ1" s="935"/>
      <c r="EGK1" s="935"/>
      <c r="EGL1" s="935"/>
      <c r="EGM1" s="935"/>
      <c r="EGN1" s="935"/>
      <c r="EGO1" s="935"/>
      <c r="EGP1" s="935"/>
      <c r="EGQ1" s="935"/>
      <c r="EGR1" s="935"/>
      <c r="EGS1" s="935"/>
      <c r="EGT1" s="935"/>
      <c r="EGU1" s="935"/>
      <c r="EGV1" s="935"/>
      <c r="EGW1" s="935"/>
      <c r="EGX1" s="935"/>
      <c r="EGY1" s="935"/>
      <c r="EGZ1" s="935"/>
      <c r="EHA1" s="935"/>
      <c r="EHB1" s="935"/>
      <c r="EHC1" s="935"/>
      <c r="EHD1" s="935"/>
      <c r="EHE1" s="935"/>
      <c r="EHF1" s="935"/>
      <c r="EHG1" s="935"/>
      <c r="EHH1" s="935"/>
      <c r="EHI1" s="935"/>
      <c r="EHJ1" s="935"/>
      <c r="EHK1" s="935"/>
      <c r="EHL1" s="935"/>
      <c r="EHM1" s="935"/>
      <c r="EHN1" s="935"/>
      <c r="EHO1" s="935"/>
      <c r="EHP1" s="935"/>
      <c r="EHQ1" s="935"/>
      <c r="EHR1" s="935"/>
      <c r="EHS1" s="935"/>
      <c r="EHT1" s="935"/>
      <c r="EHU1" s="935"/>
      <c r="EHV1" s="935"/>
      <c r="EHW1" s="935"/>
      <c r="EHX1" s="935"/>
      <c r="EHY1" s="935"/>
      <c r="EHZ1" s="935"/>
      <c r="EIA1" s="935"/>
      <c r="EIB1" s="935"/>
      <c r="EIC1" s="935"/>
      <c r="EID1" s="935"/>
      <c r="EIE1" s="935"/>
      <c r="EIF1" s="935"/>
      <c r="EIG1" s="935"/>
      <c r="EIH1" s="935"/>
      <c r="EII1" s="935"/>
      <c r="EIJ1" s="935"/>
      <c r="EIK1" s="935"/>
      <c r="EIL1" s="935"/>
      <c r="EIM1" s="935"/>
      <c r="EIN1" s="935"/>
      <c r="EIO1" s="935"/>
      <c r="EIP1" s="935"/>
      <c r="EIQ1" s="935"/>
      <c r="EIR1" s="935"/>
      <c r="EIS1" s="935"/>
      <c r="EIT1" s="935"/>
      <c r="EIU1" s="935"/>
      <c r="EIV1" s="935"/>
      <c r="EIW1" s="935"/>
      <c r="EIX1" s="935"/>
      <c r="EIY1" s="935"/>
      <c r="EIZ1" s="935"/>
      <c r="EJA1" s="935"/>
      <c r="EJB1" s="935"/>
      <c r="EJC1" s="935"/>
      <c r="EJD1" s="935"/>
      <c r="EJE1" s="935"/>
      <c r="EJF1" s="935"/>
      <c r="EJG1" s="935"/>
      <c r="EJH1" s="935"/>
      <c r="EJI1" s="935"/>
      <c r="EJJ1" s="935"/>
      <c r="EJK1" s="935"/>
      <c r="EJL1" s="935"/>
      <c r="EJM1" s="935"/>
      <c r="EJN1" s="935"/>
      <c r="EJO1" s="935"/>
      <c r="EJP1" s="935"/>
      <c r="EJQ1" s="935"/>
      <c r="EJR1" s="935"/>
      <c r="EJS1" s="935"/>
      <c r="EJT1" s="935"/>
      <c r="EJU1" s="935"/>
      <c r="EJV1" s="935"/>
      <c r="EJW1" s="935"/>
      <c r="EJX1" s="935"/>
      <c r="EJY1" s="935"/>
      <c r="EJZ1" s="935"/>
      <c r="EKA1" s="935"/>
      <c r="EKB1" s="935"/>
      <c r="EKC1" s="935"/>
      <c r="EKD1" s="935"/>
      <c r="EKE1" s="935"/>
      <c r="EKF1" s="935"/>
      <c r="EKG1" s="935"/>
      <c r="EKH1" s="935"/>
      <c r="EKI1" s="935"/>
      <c r="EKJ1" s="935"/>
      <c r="EKK1" s="935"/>
      <c r="EKL1" s="935"/>
      <c r="EKM1" s="935"/>
      <c r="EKN1" s="935"/>
      <c r="EKO1" s="935"/>
      <c r="EKP1" s="935"/>
      <c r="EKQ1" s="935"/>
      <c r="EKR1" s="935"/>
      <c r="EKS1" s="935"/>
      <c r="EKT1" s="935"/>
      <c r="EKU1" s="935"/>
      <c r="EKV1" s="935"/>
      <c r="EKW1" s="935"/>
      <c r="EKX1" s="935"/>
      <c r="EKY1" s="935"/>
      <c r="EKZ1" s="935"/>
      <c r="ELA1" s="935"/>
      <c r="ELB1" s="935"/>
      <c r="ELC1" s="935"/>
      <c r="ELD1" s="935"/>
      <c r="ELE1" s="935"/>
      <c r="ELF1" s="935"/>
      <c r="ELG1" s="935"/>
      <c r="ELH1" s="935"/>
      <c r="ELI1" s="935"/>
      <c r="ELJ1" s="935"/>
      <c r="ELK1" s="935"/>
      <c r="ELL1" s="935"/>
      <c r="ELM1" s="935"/>
      <c r="ELN1" s="935"/>
      <c r="ELO1" s="935"/>
      <c r="ELP1" s="935"/>
      <c r="ELQ1" s="935"/>
      <c r="ELR1" s="935"/>
      <c r="ELS1" s="935"/>
      <c r="ELT1" s="935"/>
      <c r="ELU1" s="935"/>
      <c r="ELV1" s="935"/>
      <c r="ELW1" s="935"/>
      <c r="ELX1" s="935"/>
      <c r="ELY1" s="935"/>
      <c r="ELZ1" s="935"/>
      <c r="EMA1" s="935"/>
      <c r="EMB1" s="935"/>
      <c r="EMC1" s="935"/>
      <c r="EMD1" s="935"/>
      <c r="EME1" s="935"/>
      <c r="EMF1" s="935"/>
      <c r="EMG1" s="935"/>
      <c r="EMH1" s="935"/>
      <c r="EMI1" s="935"/>
      <c r="EMJ1" s="935"/>
      <c r="EMK1" s="935"/>
      <c r="EML1" s="935"/>
      <c r="EMM1" s="935"/>
      <c r="EMN1" s="935"/>
      <c r="EMO1" s="935"/>
      <c r="EMP1" s="935"/>
      <c r="EMQ1" s="935"/>
      <c r="EMR1" s="935"/>
      <c r="EMS1" s="935"/>
      <c r="EMT1" s="935"/>
      <c r="EMU1" s="935"/>
      <c r="EMV1" s="935"/>
      <c r="EMW1" s="935"/>
      <c r="EMX1" s="935"/>
      <c r="EMY1" s="935"/>
      <c r="EMZ1" s="935"/>
      <c r="ENA1" s="935"/>
      <c r="ENB1" s="935"/>
      <c r="ENC1" s="935"/>
      <c r="END1" s="935"/>
      <c r="ENE1" s="935"/>
      <c r="ENF1" s="935"/>
      <c r="ENG1" s="935"/>
      <c r="ENH1" s="935"/>
      <c r="ENI1" s="935"/>
      <c r="ENJ1" s="935"/>
      <c r="ENK1" s="935"/>
      <c r="ENL1" s="935"/>
      <c r="ENM1" s="935"/>
      <c r="ENN1" s="935"/>
      <c r="ENO1" s="935"/>
      <c r="ENP1" s="935"/>
      <c r="ENQ1" s="935"/>
      <c r="ENR1" s="935"/>
      <c r="ENS1" s="935"/>
      <c r="ENT1" s="935"/>
      <c r="ENU1" s="935"/>
      <c r="ENV1" s="935"/>
      <c r="ENW1" s="935"/>
      <c r="ENX1" s="935"/>
      <c r="ENY1" s="935"/>
      <c r="ENZ1" s="935"/>
      <c r="EOA1" s="935"/>
      <c r="EOB1" s="935"/>
      <c r="EOC1" s="935"/>
      <c r="EOD1" s="935"/>
      <c r="EOE1" s="935"/>
      <c r="EOF1" s="935"/>
      <c r="EOG1" s="935"/>
      <c r="EOH1" s="935"/>
      <c r="EOI1" s="935"/>
      <c r="EOJ1" s="935"/>
      <c r="EOK1" s="935"/>
      <c r="EOL1" s="935"/>
      <c r="EOM1" s="935"/>
      <c r="EON1" s="935"/>
      <c r="EOO1" s="935"/>
      <c r="EOP1" s="935"/>
      <c r="EOQ1" s="935"/>
      <c r="EOR1" s="935"/>
      <c r="EOS1" s="935"/>
      <c r="EOT1" s="935"/>
      <c r="EOU1" s="935"/>
      <c r="EOV1" s="935"/>
      <c r="EOW1" s="935"/>
      <c r="EOX1" s="935"/>
      <c r="EOY1" s="935"/>
      <c r="EOZ1" s="935"/>
      <c r="EPA1" s="935"/>
      <c r="EPB1" s="935"/>
      <c r="EPC1" s="935"/>
      <c r="EPD1" s="935"/>
      <c r="EPE1" s="935"/>
      <c r="EPF1" s="935"/>
      <c r="EPG1" s="935"/>
      <c r="EPH1" s="935"/>
      <c r="EPI1" s="935"/>
      <c r="EPJ1" s="935"/>
      <c r="EPK1" s="935"/>
      <c r="EPL1" s="935"/>
      <c r="EPM1" s="935"/>
      <c r="EPN1" s="935"/>
      <c r="EPO1" s="935"/>
      <c r="EPP1" s="935"/>
      <c r="EPQ1" s="935"/>
      <c r="EPR1" s="935"/>
      <c r="EPS1" s="935"/>
      <c r="EPT1" s="935"/>
      <c r="EPU1" s="935"/>
      <c r="EPV1" s="935"/>
      <c r="EPW1" s="935"/>
      <c r="EPX1" s="935"/>
      <c r="EPY1" s="935"/>
      <c r="EPZ1" s="935"/>
      <c r="EQA1" s="935"/>
      <c r="EQB1" s="935"/>
      <c r="EQC1" s="935"/>
      <c r="EQD1" s="935"/>
      <c r="EQE1" s="935"/>
      <c r="EQF1" s="935"/>
      <c r="EQG1" s="935"/>
      <c r="EQH1" s="935"/>
      <c r="EQI1" s="935"/>
      <c r="EQJ1" s="935"/>
      <c r="EQK1" s="935"/>
      <c r="EQL1" s="935"/>
      <c r="EQM1" s="935"/>
      <c r="EQN1" s="935"/>
      <c r="EQO1" s="935"/>
      <c r="EQP1" s="935"/>
      <c r="EQQ1" s="935"/>
      <c r="EQR1" s="935"/>
      <c r="EQS1" s="935"/>
      <c r="EQT1" s="935"/>
      <c r="EQU1" s="935"/>
      <c r="EQV1" s="935"/>
      <c r="EQW1" s="935"/>
      <c r="EQX1" s="935"/>
      <c r="EQY1" s="935"/>
      <c r="EQZ1" s="935"/>
      <c r="ERA1" s="935"/>
      <c r="ERB1" s="935"/>
      <c r="ERC1" s="935"/>
      <c r="ERD1" s="935"/>
      <c r="ERE1" s="935"/>
      <c r="ERF1" s="935"/>
      <c r="ERG1" s="935"/>
      <c r="ERH1" s="935"/>
      <c r="ERI1" s="935"/>
      <c r="ERJ1" s="935"/>
      <c r="ERK1" s="935"/>
      <c r="ERL1" s="935"/>
      <c r="ERM1" s="935"/>
      <c r="ERN1" s="935"/>
      <c r="ERO1" s="935"/>
      <c r="ERP1" s="935"/>
      <c r="ERQ1" s="935"/>
      <c r="ERR1" s="935"/>
      <c r="ERS1" s="935"/>
      <c r="ERT1" s="935"/>
      <c r="ERU1" s="935"/>
      <c r="ERV1" s="935"/>
      <c r="ERW1" s="935"/>
      <c r="ERX1" s="935"/>
      <c r="ERY1" s="935"/>
      <c r="ERZ1" s="935"/>
      <c r="ESA1" s="935"/>
      <c r="ESB1" s="935"/>
      <c r="ESC1" s="935"/>
      <c r="ESD1" s="935"/>
      <c r="ESE1" s="935"/>
      <c r="ESF1" s="935"/>
      <c r="ESG1" s="935"/>
      <c r="ESH1" s="935"/>
      <c r="ESI1" s="935"/>
      <c r="ESJ1" s="935"/>
      <c r="ESK1" s="935"/>
      <c r="ESL1" s="935"/>
      <c r="ESM1" s="935"/>
      <c r="ESN1" s="935"/>
      <c r="ESO1" s="935"/>
      <c r="ESP1" s="935"/>
      <c r="ESQ1" s="935"/>
      <c r="ESR1" s="935"/>
      <c r="ESS1" s="935"/>
      <c r="EST1" s="935"/>
      <c r="ESU1" s="935"/>
      <c r="ESV1" s="935"/>
      <c r="ESW1" s="935"/>
      <c r="ESX1" s="935"/>
      <c r="ESY1" s="935"/>
      <c r="ESZ1" s="935"/>
      <c r="ETA1" s="935"/>
      <c r="ETB1" s="935"/>
      <c r="ETC1" s="935"/>
      <c r="ETD1" s="935"/>
      <c r="ETE1" s="935"/>
      <c r="ETF1" s="935"/>
      <c r="ETG1" s="935"/>
      <c r="ETH1" s="935"/>
      <c r="ETI1" s="935"/>
      <c r="ETJ1" s="935"/>
      <c r="ETK1" s="935"/>
      <c r="ETL1" s="935"/>
      <c r="ETM1" s="935"/>
      <c r="ETN1" s="935"/>
      <c r="ETO1" s="935"/>
      <c r="ETP1" s="935"/>
      <c r="ETQ1" s="935"/>
      <c r="ETR1" s="935"/>
      <c r="ETS1" s="935"/>
      <c r="ETT1" s="935"/>
      <c r="ETU1" s="935"/>
      <c r="ETV1" s="935"/>
      <c r="ETW1" s="935"/>
      <c r="ETX1" s="935"/>
      <c r="ETY1" s="935"/>
      <c r="ETZ1" s="935"/>
      <c r="EUA1" s="935"/>
      <c r="EUB1" s="935"/>
      <c r="EUC1" s="935"/>
      <c r="EUD1" s="935"/>
      <c r="EUE1" s="935"/>
      <c r="EUF1" s="935"/>
      <c r="EUG1" s="935"/>
      <c r="EUH1" s="935"/>
      <c r="EUI1" s="935"/>
      <c r="EUJ1" s="935"/>
      <c r="EUK1" s="935"/>
      <c r="EUL1" s="935"/>
      <c r="EUM1" s="935"/>
      <c r="EUN1" s="935"/>
      <c r="EUO1" s="935"/>
      <c r="EUP1" s="935"/>
      <c r="EUQ1" s="935"/>
      <c r="EUR1" s="935"/>
      <c r="EUS1" s="935"/>
      <c r="EUT1" s="935"/>
      <c r="EUU1" s="935"/>
      <c r="EUV1" s="935"/>
      <c r="EUW1" s="935"/>
      <c r="EUX1" s="935"/>
      <c r="EUY1" s="935"/>
      <c r="EUZ1" s="935"/>
      <c r="EVA1" s="935"/>
      <c r="EVB1" s="935"/>
      <c r="EVC1" s="935"/>
      <c r="EVD1" s="935"/>
      <c r="EVE1" s="935"/>
      <c r="EVF1" s="935"/>
      <c r="EVG1" s="935"/>
      <c r="EVH1" s="935"/>
      <c r="EVI1" s="935"/>
      <c r="EVJ1" s="935"/>
      <c r="EVK1" s="935"/>
      <c r="EVL1" s="935"/>
      <c r="EVM1" s="935"/>
      <c r="EVN1" s="935"/>
      <c r="EVO1" s="935"/>
      <c r="EVP1" s="935"/>
      <c r="EVQ1" s="935"/>
      <c r="EVR1" s="935"/>
      <c r="EVS1" s="935"/>
      <c r="EVT1" s="935"/>
      <c r="EVU1" s="935"/>
      <c r="EVV1" s="935"/>
      <c r="EVW1" s="935"/>
      <c r="EVX1" s="935"/>
      <c r="EVY1" s="935"/>
      <c r="EVZ1" s="935"/>
      <c r="EWA1" s="935"/>
      <c r="EWB1" s="935"/>
      <c r="EWC1" s="935"/>
      <c r="EWD1" s="935"/>
      <c r="EWE1" s="935"/>
      <c r="EWF1" s="935"/>
      <c r="EWG1" s="935"/>
      <c r="EWH1" s="935"/>
      <c r="EWI1" s="935"/>
      <c r="EWJ1" s="935"/>
      <c r="EWK1" s="935"/>
      <c r="EWL1" s="935"/>
      <c r="EWM1" s="935"/>
      <c r="EWN1" s="935"/>
      <c r="EWO1" s="935"/>
      <c r="EWP1" s="935"/>
      <c r="EWQ1" s="935"/>
      <c r="EWR1" s="935"/>
      <c r="EWS1" s="935"/>
      <c r="EWT1" s="935"/>
      <c r="EWU1" s="935"/>
      <c r="EWV1" s="935"/>
      <c r="EWW1" s="935"/>
      <c r="EWX1" s="935"/>
      <c r="EWY1" s="935"/>
      <c r="EWZ1" s="935"/>
      <c r="EXA1" s="935"/>
      <c r="EXB1" s="935"/>
      <c r="EXC1" s="935"/>
      <c r="EXD1" s="935"/>
      <c r="EXE1" s="935"/>
      <c r="EXF1" s="935"/>
      <c r="EXG1" s="935"/>
      <c r="EXH1" s="935"/>
      <c r="EXI1" s="935"/>
      <c r="EXJ1" s="935"/>
      <c r="EXK1" s="935"/>
      <c r="EXL1" s="935"/>
      <c r="EXM1" s="935"/>
      <c r="EXN1" s="935"/>
      <c r="EXO1" s="935"/>
      <c r="EXP1" s="935"/>
      <c r="EXQ1" s="935"/>
      <c r="EXR1" s="935"/>
      <c r="EXS1" s="935"/>
      <c r="EXT1" s="935"/>
      <c r="EXU1" s="935"/>
      <c r="EXV1" s="935"/>
      <c r="EXW1" s="935"/>
      <c r="EXX1" s="935"/>
      <c r="EXY1" s="935"/>
      <c r="EXZ1" s="935"/>
      <c r="EYA1" s="935"/>
      <c r="EYB1" s="935"/>
      <c r="EYC1" s="935"/>
      <c r="EYD1" s="935"/>
      <c r="EYE1" s="935"/>
      <c r="EYF1" s="935"/>
      <c r="EYG1" s="935"/>
      <c r="EYH1" s="935"/>
      <c r="EYI1" s="935"/>
      <c r="EYJ1" s="935"/>
      <c r="EYK1" s="935"/>
      <c r="EYL1" s="935"/>
      <c r="EYM1" s="935"/>
      <c r="EYN1" s="935"/>
      <c r="EYO1" s="935"/>
      <c r="EYP1" s="935"/>
      <c r="EYQ1" s="935"/>
      <c r="EYR1" s="935"/>
      <c r="EYS1" s="935"/>
      <c r="EYT1" s="935"/>
      <c r="EYU1" s="935"/>
      <c r="EYV1" s="935"/>
      <c r="EYW1" s="935"/>
      <c r="EYX1" s="935"/>
      <c r="EYY1" s="935"/>
      <c r="EYZ1" s="935"/>
      <c r="EZA1" s="935"/>
      <c r="EZB1" s="935"/>
      <c r="EZC1" s="935"/>
      <c r="EZD1" s="935"/>
      <c r="EZE1" s="935"/>
      <c r="EZF1" s="935"/>
      <c r="EZG1" s="935"/>
      <c r="EZH1" s="935"/>
      <c r="EZI1" s="935"/>
      <c r="EZJ1" s="935"/>
      <c r="EZK1" s="935"/>
      <c r="EZL1" s="935"/>
      <c r="EZM1" s="935"/>
      <c r="EZN1" s="935"/>
      <c r="EZO1" s="935"/>
      <c r="EZP1" s="935"/>
      <c r="EZQ1" s="935"/>
      <c r="EZR1" s="935"/>
      <c r="EZS1" s="935"/>
      <c r="EZT1" s="935"/>
      <c r="EZU1" s="935"/>
      <c r="EZV1" s="935"/>
      <c r="EZW1" s="935"/>
      <c r="EZX1" s="935"/>
      <c r="EZY1" s="935"/>
      <c r="EZZ1" s="935"/>
      <c r="FAA1" s="935"/>
      <c r="FAB1" s="935"/>
      <c r="FAC1" s="935"/>
      <c r="FAD1" s="935"/>
      <c r="FAE1" s="935"/>
      <c r="FAF1" s="935"/>
      <c r="FAG1" s="935"/>
      <c r="FAH1" s="935"/>
      <c r="FAI1" s="935"/>
      <c r="FAJ1" s="935"/>
      <c r="FAK1" s="935"/>
      <c r="FAL1" s="935"/>
      <c r="FAM1" s="935"/>
      <c r="FAN1" s="935"/>
      <c r="FAO1" s="935"/>
      <c r="FAP1" s="935"/>
      <c r="FAQ1" s="935"/>
      <c r="FAR1" s="935"/>
      <c r="FAS1" s="935"/>
      <c r="FAT1" s="935"/>
      <c r="FAU1" s="935"/>
      <c r="FAV1" s="935"/>
      <c r="FAW1" s="935"/>
      <c r="FAX1" s="935"/>
      <c r="FAY1" s="935"/>
      <c r="FAZ1" s="935"/>
      <c r="FBA1" s="935"/>
      <c r="FBB1" s="935"/>
      <c r="FBC1" s="935"/>
      <c r="FBD1" s="935"/>
      <c r="FBE1" s="935"/>
      <c r="FBF1" s="935"/>
      <c r="FBG1" s="935"/>
      <c r="FBH1" s="935"/>
      <c r="FBI1" s="935"/>
      <c r="FBJ1" s="935"/>
      <c r="FBK1" s="935"/>
      <c r="FBL1" s="935"/>
      <c r="FBM1" s="935"/>
      <c r="FBN1" s="935"/>
      <c r="FBO1" s="935"/>
      <c r="FBP1" s="935"/>
      <c r="FBQ1" s="935"/>
      <c r="FBR1" s="935"/>
      <c r="FBS1" s="935"/>
      <c r="FBT1" s="935"/>
      <c r="FBU1" s="935"/>
      <c r="FBV1" s="935"/>
      <c r="FBW1" s="935"/>
      <c r="FBX1" s="935"/>
      <c r="FBY1" s="935"/>
      <c r="FBZ1" s="935"/>
      <c r="FCA1" s="935"/>
      <c r="FCB1" s="935"/>
      <c r="FCC1" s="935"/>
      <c r="FCD1" s="935"/>
      <c r="FCE1" s="935"/>
      <c r="FCF1" s="935"/>
      <c r="FCG1" s="935"/>
      <c r="FCH1" s="935"/>
      <c r="FCI1" s="935"/>
      <c r="FCJ1" s="935"/>
      <c r="FCK1" s="935"/>
      <c r="FCL1" s="935"/>
      <c r="FCM1" s="935"/>
      <c r="FCN1" s="935"/>
      <c r="FCO1" s="935"/>
      <c r="FCP1" s="935"/>
      <c r="FCQ1" s="935"/>
      <c r="FCR1" s="935"/>
      <c r="FCS1" s="935"/>
      <c r="FCT1" s="935"/>
      <c r="FCU1" s="935"/>
      <c r="FCV1" s="935"/>
      <c r="FCW1" s="935"/>
      <c r="FCX1" s="935"/>
      <c r="FCY1" s="935"/>
      <c r="FCZ1" s="935"/>
      <c r="FDA1" s="935"/>
      <c r="FDB1" s="935"/>
      <c r="FDC1" s="935"/>
      <c r="FDD1" s="935"/>
      <c r="FDE1" s="935"/>
      <c r="FDF1" s="935"/>
      <c r="FDG1" s="935"/>
      <c r="FDH1" s="935"/>
      <c r="FDI1" s="935"/>
      <c r="FDJ1" s="935"/>
      <c r="FDK1" s="935"/>
      <c r="FDL1" s="935"/>
      <c r="FDM1" s="935"/>
      <c r="FDN1" s="935"/>
      <c r="FDO1" s="935"/>
      <c r="FDP1" s="935"/>
      <c r="FDQ1" s="935"/>
      <c r="FDR1" s="935"/>
      <c r="FDS1" s="935"/>
      <c r="FDT1" s="935"/>
      <c r="FDU1" s="935"/>
      <c r="FDV1" s="935"/>
      <c r="FDW1" s="935"/>
      <c r="FDX1" s="935"/>
      <c r="FDY1" s="935"/>
      <c r="FDZ1" s="935"/>
      <c r="FEA1" s="935"/>
      <c r="FEB1" s="935"/>
      <c r="FEC1" s="935"/>
      <c r="FED1" s="935"/>
      <c r="FEE1" s="935"/>
      <c r="FEF1" s="935"/>
      <c r="FEG1" s="935"/>
      <c r="FEH1" s="935"/>
      <c r="FEI1" s="935"/>
      <c r="FEJ1" s="935"/>
      <c r="FEK1" s="935"/>
      <c r="FEL1" s="935"/>
      <c r="FEM1" s="935"/>
      <c r="FEN1" s="935"/>
      <c r="FEO1" s="935"/>
      <c r="FEP1" s="935"/>
      <c r="FEQ1" s="935"/>
      <c r="FER1" s="935"/>
      <c r="FES1" s="935"/>
      <c r="FET1" s="935"/>
      <c r="FEU1" s="935"/>
      <c r="FEV1" s="935"/>
      <c r="FEW1" s="935"/>
      <c r="FEX1" s="935"/>
      <c r="FEY1" s="935"/>
      <c r="FEZ1" s="935"/>
      <c r="FFA1" s="935"/>
      <c r="FFB1" s="935"/>
      <c r="FFC1" s="935"/>
      <c r="FFD1" s="935"/>
      <c r="FFE1" s="935"/>
      <c r="FFF1" s="935"/>
      <c r="FFG1" s="935"/>
      <c r="FFH1" s="935"/>
      <c r="FFI1" s="935"/>
      <c r="FFJ1" s="935"/>
      <c r="FFK1" s="935"/>
      <c r="FFL1" s="935"/>
      <c r="FFM1" s="935"/>
      <c r="FFN1" s="935"/>
      <c r="FFO1" s="935"/>
      <c r="FFP1" s="935"/>
      <c r="FFQ1" s="935"/>
      <c r="FFR1" s="935"/>
      <c r="FFS1" s="935"/>
      <c r="FFT1" s="935"/>
      <c r="FFU1" s="935"/>
      <c r="FFV1" s="935"/>
      <c r="FFW1" s="935"/>
      <c r="FFX1" s="935"/>
      <c r="FFY1" s="935"/>
      <c r="FFZ1" s="935"/>
      <c r="FGA1" s="935"/>
      <c r="FGB1" s="935"/>
      <c r="FGC1" s="935"/>
      <c r="FGD1" s="935"/>
      <c r="FGE1" s="935"/>
      <c r="FGF1" s="935"/>
      <c r="FGG1" s="935"/>
      <c r="FGH1" s="935"/>
      <c r="FGI1" s="935"/>
      <c r="FGJ1" s="935"/>
      <c r="FGK1" s="935"/>
      <c r="FGL1" s="935"/>
      <c r="FGM1" s="935"/>
      <c r="FGN1" s="935"/>
      <c r="FGO1" s="935"/>
      <c r="FGP1" s="935"/>
      <c r="FGQ1" s="935"/>
      <c r="FGR1" s="935"/>
      <c r="FGS1" s="935"/>
      <c r="FGT1" s="935"/>
      <c r="FGU1" s="935"/>
      <c r="FGV1" s="935"/>
      <c r="FGW1" s="935"/>
      <c r="FGX1" s="935"/>
      <c r="FGY1" s="935"/>
      <c r="FGZ1" s="935"/>
      <c r="FHA1" s="935"/>
      <c r="FHB1" s="935"/>
      <c r="FHC1" s="935"/>
      <c r="FHD1" s="935"/>
      <c r="FHE1" s="935"/>
      <c r="FHF1" s="935"/>
      <c r="FHG1" s="935"/>
      <c r="FHH1" s="935"/>
      <c r="FHI1" s="935"/>
      <c r="FHJ1" s="935"/>
      <c r="FHK1" s="935"/>
      <c r="FHL1" s="935"/>
      <c r="FHM1" s="935"/>
      <c r="FHN1" s="935"/>
      <c r="FHO1" s="935"/>
      <c r="FHP1" s="935"/>
      <c r="FHQ1" s="935"/>
      <c r="FHR1" s="935"/>
      <c r="FHS1" s="935"/>
      <c r="FHT1" s="935"/>
      <c r="FHU1" s="935"/>
      <c r="FHV1" s="935"/>
      <c r="FHW1" s="935"/>
      <c r="FHX1" s="935"/>
      <c r="FHY1" s="935"/>
      <c r="FHZ1" s="935"/>
      <c r="FIA1" s="935"/>
      <c r="FIB1" s="935"/>
      <c r="FIC1" s="935"/>
      <c r="FID1" s="935"/>
      <c r="FIE1" s="935"/>
      <c r="FIF1" s="935"/>
      <c r="FIG1" s="935"/>
      <c r="FIH1" s="935"/>
      <c r="FII1" s="935"/>
      <c r="FIJ1" s="935"/>
      <c r="FIK1" s="935"/>
      <c r="FIL1" s="935"/>
      <c r="FIM1" s="935"/>
      <c r="FIN1" s="935"/>
      <c r="FIO1" s="935"/>
      <c r="FIP1" s="935"/>
      <c r="FIQ1" s="935"/>
      <c r="FIR1" s="935"/>
      <c r="FIS1" s="935"/>
      <c r="FIT1" s="935"/>
      <c r="FIU1" s="935"/>
      <c r="FIV1" s="935"/>
      <c r="FIW1" s="935"/>
      <c r="FIX1" s="935"/>
      <c r="FIY1" s="935"/>
      <c r="FIZ1" s="935"/>
      <c r="FJA1" s="935"/>
      <c r="FJB1" s="935"/>
      <c r="FJC1" s="935"/>
      <c r="FJD1" s="935"/>
      <c r="FJE1" s="935"/>
      <c r="FJF1" s="935"/>
      <c r="FJG1" s="935"/>
      <c r="FJH1" s="935"/>
      <c r="FJI1" s="935"/>
      <c r="FJJ1" s="935"/>
      <c r="FJK1" s="935"/>
      <c r="FJL1" s="935"/>
      <c r="FJM1" s="935"/>
      <c r="FJN1" s="935"/>
      <c r="FJO1" s="935"/>
      <c r="FJP1" s="935"/>
      <c r="FJQ1" s="935"/>
      <c r="FJR1" s="935"/>
      <c r="FJS1" s="935"/>
      <c r="FJT1" s="935"/>
      <c r="FJU1" s="935"/>
      <c r="FJV1" s="935"/>
      <c r="FJW1" s="935"/>
      <c r="FJX1" s="935"/>
      <c r="FJY1" s="935"/>
      <c r="FJZ1" s="935"/>
      <c r="FKA1" s="935"/>
      <c r="FKB1" s="935"/>
      <c r="FKC1" s="935"/>
      <c r="FKD1" s="935"/>
      <c r="FKE1" s="935"/>
      <c r="FKF1" s="935"/>
      <c r="FKG1" s="935"/>
      <c r="FKH1" s="935"/>
      <c r="FKI1" s="935"/>
      <c r="FKJ1" s="935"/>
      <c r="FKK1" s="935"/>
      <c r="FKL1" s="935"/>
      <c r="FKM1" s="935"/>
      <c r="FKN1" s="935"/>
      <c r="FKO1" s="935"/>
      <c r="FKP1" s="935"/>
      <c r="FKQ1" s="935"/>
      <c r="FKR1" s="935"/>
      <c r="FKS1" s="935"/>
      <c r="FKT1" s="935"/>
      <c r="FKU1" s="935"/>
      <c r="FKV1" s="935"/>
      <c r="FKW1" s="935"/>
      <c r="FKX1" s="935"/>
      <c r="FKY1" s="935"/>
      <c r="FKZ1" s="935"/>
      <c r="FLA1" s="935"/>
      <c r="FLB1" s="935"/>
      <c r="FLC1" s="935"/>
      <c r="FLD1" s="935"/>
      <c r="FLE1" s="935"/>
      <c r="FLF1" s="935"/>
      <c r="FLG1" s="935"/>
      <c r="FLH1" s="935"/>
      <c r="FLI1" s="935"/>
      <c r="FLJ1" s="935"/>
      <c r="FLK1" s="935"/>
      <c r="FLL1" s="935"/>
      <c r="FLM1" s="935"/>
      <c r="FLN1" s="935"/>
      <c r="FLO1" s="935"/>
      <c r="FLP1" s="935"/>
      <c r="FLQ1" s="935"/>
      <c r="FLR1" s="935"/>
      <c r="FLS1" s="935"/>
      <c r="FLT1" s="935"/>
      <c r="FLU1" s="935"/>
      <c r="FLV1" s="935"/>
      <c r="FLW1" s="935"/>
      <c r="FLX1" s="935"/>
      <c r="FLY1" s="935"/>
      <c r="FLZ1" s="935"/>
      <c r="FMA1" s="935"/>
      <c r="FMB1" s="935"/>
      <c r="FMC1" s="935"/>
      <c r="FMD1" s="935"/>
      <c r="FME1" s="935"/>
      <c r="FMF1" s="935"/>
      <c r="FMG1" s="935"/>
      <c r="FMH1" s="935"/>
      <c r="FMI1" s="935"/>
      <c r="FMJ1" s="935"/>
      <c r="FMK1" s="935"/>
      <c r="FML1" s="935"/>
      <c r="FMM1" s="935"/>
      <c r="FMN1" s="935"/>
      <c r="FMO1" s="935"/>
      <c r="FMP1" s="935"/>
      <c r="FMQ1" s="935"/>
      <c r="FMR1" s="935"/>
      <c r="FMS1" s="935"/>
      <c r="FMT1" s="935"/>
      <c r="FMU1" s="935"/>
      <c r="FMV1" s="935"/>
      <c r="FMW1" s="935"/>
      <c r="FMX1" s="935"/>
      <c r="FMY1" s="935"/>
      <c r="FMZ1" s="935"/>
      <c r="FNA1" s="935"/>
      <c r="FNB1" s="935"/>
      <c r="FNC1" s="935"/>
      <c r="FND1" s="935"/>
      <c r="FNE1" s="935"/>
      <c r="FNF1" s="935"/>
      <c r="FNG1" s="935"/>
      <c r="FNH1" s="935"/>
      <c r="FNI1" s="935"/>
      <c r="FNJ1" s="935"/>
      <c r="FNK1" s="935"/>
      <c r="FNL1" s="935"/>
      <c r="FNM1" s="935"/>
      <c r="FNN1" s="935"/>
      <c r="FNO1" s="935"/>
      <c r="FNP1" s="935"/>
      <c r="FNQ1" s="935"/>
      <c r="FNR1" s="935"/>
      <c r="FNS1" s="935"/>
      <c r="FNT1" s="935"/>
      <c r="FNU1" s="935"/>
      <c r="FNV1" s="935"/>
      <c r="FNW1" s="935"/>
      <c r="FNX1" s="935"/>
      <c r="FNY1" s="935"/>
      <c r="FNZ1" s="935"/>
      <c r="FOA1" s="935"/>
      <c r="FOB1" s="935"/>
      <c r="FOC1" s="935"/>
      <c r="FOD1" s="935"/>
      <c r="FOE1" s="935"/>
      <c r="FOF1" s="935"/>
      <c r="FOG1" s="935"/>
      <c r="FOH1" s="935"/>
      <c r="FOI1" s="935"/>
      <c r="FOJ1" s="935"/>
      <c r="FOK1" s="935"/>
      <c r="FOL1" s="935"/>
      <c r="FOM1" s="935"/>
      <c r="FON1" s="935"/>
      <c r="FOO1" s="935"/>
      <c r="FOP1" s="935"/>
      <c r="FOQ1" s="935"/>
      <c r="FOR1" s="935"/>
      <c r="FOS1" s="935"/>
      <c r="FOT1" s="935"/>
      <c r="FOU1" s="935"/>
      <c r="FOV1" s="935"/>
      <c r="FOW1" s="935"/>
      <c r="FOX1" s="935"/>
      <c r="FOY1" s="935"/>
      <c r="FOZ1" s="935"/>
      <c r="FPA1" s="935"/>
      <c r="FPB1" s="935"/>
      <c r="FPC1" s="935"/>
      <c r="FPD1" s="935"/>
      <c r="FPE1" s="935"/>
      <c r="FPF1" s="935"/>
      <c r="FPG1" s="935"/>
      <c r="FPH1" s="935"/>
      <c r="FPI1" s="935"/>
      <c r="FPJ1" s="935"/>
      <c r="FPK1" s="935"/>
      <c r="FPL1" s="935"/>
      <c r="FPM1" s="935"/>
      <c r="FPN1" s="935"/>
      <c r="FPO1" s="935"/>
      <c r="FPP1" s="935"/>
      <c r="FPQ1" s="935"/>
      <c r="FPR1" s="935"/>
      <c r="FPS1" s="935"/>
      <c r="FPT1" s="935"/>
      <c r="FPU1" s="935"/>
      <c r="FPV1" s="935"/>
      <c r="FPW1" s="935"/>
      <c r="FPX1" s="935"/>
      <c r="FPY1" s="935"/>
      <c r="FPZ1" s="935"/>
      <c r="FQA1" s="935"/>
      <c r="FQB1" s="935"/>
      <c r="FQC1" s="935"/>
      <c r="FQD1" s="935"/>
      <c r="FQE1" s="935"/>
      <c r="FQF1" s="935"/>
      <c r="FQG1" s="935"/>
      <c r="FQH1" s="935"/>
      <c r="FQI1" s="935"/>
      <c r="FQJ1" s="935"/>
      <c r="FQK1" s="935"/>
      <c r="FQL1" s="935"/>
      <c r="FQM1" s="935"/>
      <c r="FQN1" s="935"/>
      <c r="FQO1" s="935"/>
      <c r="FQP1" s="935"/>
      <c r="FQQ1" s="935"/>
      <c r="FQR1" s="935"/>
      <c r="FQS1" s="935"/>
      <c r="FQT1" s="935"/>
      <c r="FQU1" s="935"/>
      <c r="FQV1" s="935"/>
      <c r="FQW1" s="935"/>
      <c r="FQX1" s="935"/>
      <c r="FQY1" s="935"/>
      <c r="FQZ1" s="935"/>
      <c r="FRA1" s="935"/>
      <c r="FRB1" s="935"/>
      <c r="FRC1" s="935"/>
      <c r="FRD1" s="935"/>
      <c r="FRE1" s="935"/>
      <c r="FRF1" s="935"/>
      <c r="FRG1" s="935"/>
      <c r="FRH1" s="935"/>
      <c r="FRI1" s="935"/>
      <c r="FRJ1" s="935"/>
      <c r="FRK1" s="935"/>
      <c r="FRL1" s="935"/>
      <c r="FRM1" s="935"/>
      <c r="FRN1" s="935"/>
      <c r="FRO1" s="935"/>
      <c r="FRP1" s="935"/>
      <c r="FRQ1" s="935"/>
      <c r="FRR1" s="935"/>
      <c r="FRS1" s="935"/>
      <c r="FRT1" s="935"/>
      <c r="FRU1" s="935"/>
      <c r="FRV1" s="935"/>
      <c r="FRW1" s="935"/>
      <c r="FRX1" s="935"/>
      <c r="FRY1" s="935"/>
      <c r="FRZ1" s="935"/>
      <c r="FSA1" s="935"/>
      <c r="FSB1" s="935"/>
      <c r="FSC1" s="935"/>
      <c r="FSD1" s="935"/>
      <c r="FSE1" s="935"/>
      <c r="FSF1" s="935"/>
      <c r="FSG1" s="935"/>
      <c r="FSH1" s="935"/>
      <c r="FSI1" s="935"/>
      <c r="FSJ1" s="935"/>
      <c r="FSK1" s="935"/>
      <c r="FSL1" s="935"/>
      <c r="FSM1" s="935"/>
      <c r="FSN1" s="935"/>
      <c r="FSO1" s="935"/>
      <c r="FSP1" s="935"/>
      <c r="FSQ1" s="935"/>
      <c r="FSR1" s="935"/>
      <c r="FSS1" s="935"/>
      <c r="FST1" s="935"/>
      <c r="FSU1" s="935"/>
      <c r="FSV1" s="935"/>
      <c r="FSW1" s="935"/>
      <c r="FSX1" s="935"/>
      <c r="FSY1" s="935"/>
      <c r="FSZ1" s="935"/>
      <c r="FTA1" s="935"/>
      <c r="FTB1" s="935"/>
      <c r="FTC1" s="935"/>
      <c r="FTD1" s="935"/>
      <c r="FTE1" s="935"/>
      <c r="FTF1" s="935"/>
      <c r="FTG1" s="935"/>
      <c r="FTH1" s="935"/>
      <c r="FTI1" s="935"/>
      <c r="FTJ1" s="935"/>
      <c r="FTK1" s="935"/>
      <c r="FTL1" s="935"/>
      <c r="FTM1" s="935"/>
      <c r="FTN1" s="935"/>
      <c r="FTO1" s="935"/>
      <c r="FTP1" s="935"/>
      <c r="FTQ1" s="935"/>
      <c r="FTR1" s="935"/>
      <c r="FTS1" s="935"/>
      <c r="FTT1" s="935"/>
      <c r="FTU1" s="935"/>
      <c r="FTV1" s="935"/>
      <c r="FTW1" s="935"/>
      <c r="FTX1" s="935"/>
      <c r="FTY1" s="935"/>
      <c r="FTZ1" s="935"/>
      <c r="FUA1" s="935"/>
      <c r="FUB1" s="935"/>
      <c r="FUC1" s="935"/>
      <c r="FUD1" s="935"/>
      <c r="FUE1" s="935"/>
      <c r="FUF1" s="935"/>
      <c r="FUG1" s="935"/>
      <c r="FUH1" s="935"/>
      <c r="FUI1" s="935"/>
      <c r="FUJ1" s="935"/>
      <c r="FUK1" s="935"/>
      <c r="FUL1" s="935"/>
      <c r="FUM1" s="935"/>
      <c r="FUN1" s="935"/>
      <c r="FUO1" s="935"/>
      <c r="FUP1" s="935"/>
      <c r="FUQ1" s="935"/>
      <c r="FUR1" s="935"/>
      <c r="FUS1" s="935"/>
      <c r="FUT1" s="935"/>
      <c r="FUU1" s="935"/>
      <c r="FUV1" s="935"/>
      <c r="FUW1" s="935"/>
      <c r="FUX1" s="935"/>
      <c r="FUY1" s="935"/>
      <c r="FUZ1" s="935"/>
      <c r="FVA1" s="935"/>
      <c r="FVB1" s="935"/>
      <c r="FVC1" s="935"/>
      <c r="FVD1" s="935"/>
      <c r="FVE1" s="935"/>
      <c r="FVF1" s="935"/>
      <c r="FVG1" s="935"/>
      <c r="FVH1" s="935"/>
      <c r="FVI1" s="935"/>
      <c r="FVJ1" s="935"/>
      <c r="FVK1" s="935"/>
      <c r="FVL1" s="935"/>
      <c r="FVM1" s="935"/>
      <c r="FVN1" s="935"/>
      <c r="FVO1" s="935"/>
      <c r="FVP1" s="935"/>
      <c r="FVQ1" s="935"/>
      <c r="FVR1" s="935"/>
      <c r="FVS1" s="935"/>
      <c r="FVT1" s="935"/>
      <c r="FVU1" s="935"/>
      <c r="FVV1" s="935"/>
      <c r="FVW1" s="935"/>
      <c r="FVX1" s="935"/>
      <c r="FVY1" s="935"/>
      <c r="FVZ1" s="935"/>
      <c r="FWA1" s="935"/>
      <c r="FWB1" s="935"/>
      <c r="FWC1" s="935"/>
      <c r="FWD1" s="935"/>
      <c r="FWE1" s="935"/>
      <c r="FWF1" s="935"/>
      <c r="FWG1" s="935"/>
      <c r="FWH1" s="935"/>
      <c r="FWI1" s="935"/>
      <c r="FWJ1" s="935"/>
      <c r="FWK1" s="935"/>
      <c r="FWL1" s="935"/>
      <c r="FWM1" s="935"/>
      <c r="FWN1" s="935"/>
      <c r="FWO1" s="935"/>
      <c r="FWP1" s="935"/>
      <c r="FWQ1" s="935"/>
      <c r="FWR1" s="935"/>
      <c r="FWS1" s="935"/>
      <c r="FWT1" s="935"/>
      <c r="FWU1" s="935"/>
      <c r="FWV1" s="935"/>
      <c r="FWW1" s="935"/>
      <c r="FWX1" s="935"/>
      <c r="FWY1" s="935"/>
      <c r="FWZ1" s="935"/>
      <c r="FXA1" s="935"/>
      <c r="FXB1" s="935"/>
      <c r="FXC1" s="935"/>
      <c r="FXD1" s="935"/>
      <c r="FXE1" s="935"/>
      <c r="FXF1" s="935"/>
      <c r="FXG1" s="935"/>
      <c r="FXH1" s="935"/>
      <c r="FXI1" s="935"/>
      <c r="FXJ1" s="935"/>
      <c r="FXK1" s="935"/>
      <c r="FXL1" s="935"/>
      <c r="FXM1" s="935"/>
      <c r="FXN1" s="935"/>
      <c r="FXO1" s="935"/>
      <c r="FXP1" s="935"/>
      <c r="FXQ1" s="935"/>
      <c r="FXR1" s="935"/>
      <c r="FXS1" s="935"/>
      <c r="FXT1" s="935"/>
      <c r="FXU1" s="935"/>
      <c r="FXV1" s="935"/>
      <c r="FXW1" s="935"/>
      <c r="FXX1" s="935"/>
      <c r="FXY1" s="935"/>
      <c r="FXZ1" s="935"/>
      <c r="FYA1" s="935"/>
      <c r="FYB1" s="935"/>
      <c r="FYC1" s="935"/>
      <c r="FYD1" s="935"/>
      <c r="FYE1" s="935"/>
      <c r="FYF1" s="935"/>
      <c r="FYG1" s="935"/>
      <c r="FYH1" s="935"/>
      <c r="FYI1" s="935"/>
      <c r="FYJ1" s="935"/>
      <c r="FYK1" s="935"/>
      <c r="FYL1" s="935"/>
      <c r="FYM1" s="935"/>
      <c r="FYN1" s="935"/>
      <c r="FYO1" s="935"/>
      <c r="FYP1" s="935"/>
      <c r="FYQ1" s="935"/>
      <c r="FYR1" s="935"/>
      <c r="FYS1" s="935"/>
      <c r="FYT1" s="935"/>
      <c r="FYU1" s="935"/>
      <c r="FYV1" s="935"/>
      <c r="FYW1" s="935"/>
      <c r="FYX1" s="935"/>
      <c r="FYY1" s="935"/>
      <c r="FYZ1" s="935"/>
      <c r="FZA1" s="935"/>
      <c r="FZB1" s="935"/>
      <c r="FZC1" s="935"/>
      <c r="FZD1" s="935"/>
      <c r="FZE1" s="935"/>
      <c r="FZF1" s="935"/>
      <c r="FZG1" s="935"/>
      <c r="FZH1" s="935"/>
      <c r="FZI1" s="935"/>
      <c r="FZJ1" s="935"/>
      <c r="FZK1" s="935"/>
      <c r="FZL1" s="935"/>
      <c r="FZM1" s="935"/>
      <c r="FZN1" s="935"/>
      <c r="FZO1" s="935"/>
      <c r="FZP1" s="935"/>
      <c r="FZQ1" s="935"/>
      <c r="FZR1" s="935"/>
      <c r="FZS1" s="935"/>
      <c r="FZT1" s="935"/>
      <c r="FZU1" s="935"/>
      <c r="FZV1" s="935"/>
      <c r="FZW1" s="935"/>
      <c r="FZX1" s="935"/>
      <c r="FZY1" s="935"/>
      <c r="FZZ1" s="935"/>
      <c r="GAA1" s="935"/>
      <c r="GAB1" s="935"/>
      <c r="GAC1" s="935"/>
      <c r="GAD1" s="935"/>
      <c r="GAE1" s="935"/>
      <c r="GAF1" s="935"/>
      <c r="GAG1" s="935"/>
      <c r="GAH1" s="935"/>
      <c r="GAI1" s="935"/>
      <c r="GAJ1" s="935"/>
      <c r="GAK1" s="935"/>
      <c r="GAL1" s="935"/>
      <c r="GAM1" s="935"/>
      <c r="GAN1" s="935"/>
      <c r="GAO1" s="935"/>
      <c r="GAP1" s="935"/>
      <c r="GAQ1" s="935"/>
      <c r="GAR1" s="935"/>
      <c r="GAS1" s="935"/>
      <c r="GAT1" s="935"/>
      <c r="GAU1" s="935"/>
      <c r="GAV1" s="935"/>
      <c r="GAW1" s="935"/>
      <c r="GAX1" s="935"/>
      <c r="GAY1" s="935"/>
      <c r="GAZ1" s="935"/>
      <c r="GBA1" s="935"/>
      <c r="GBB1" s="935"/>
      <c r="GBC1" s="935"/>
      <c r="GBD1" s="935"/>
      <c r="GBE1" s="935"/>
      <c r="GBF1" s="935"/>
      <c r="GBG1" s="935"/>
      <c r="GBH1" s="935"/>
      <c r="GBI1" s="935"/>
      <c r="GBJ1" s="935"/>
      <c r="GBK1" s="935"/>
      <c r="GBL1" s="935"/>
      <c r="GBM1" s="935"/>
      <c r="GBN1" s="935"/>
      <c r="GBO1" s="935"/>
      <c r="GBP1" s="935"/>
      <c r="GBQ1" s="935"/>
      <c r="GBR1" s="935"/>
      <c r="GBS1" s="935"/>
      <c r="GBT1" s="935"/>
      <c r="GBU1" s="935"/>
      <c r="GBV1" s="935"/>
      <c r="GBW1" s="935"/>
      <c r="GBX1" s="935"/>
      <c r="GBY1" s="935"/>
      <c r="GBZ1" s="935"/>
      <c r="GCA1" s="935"/>
      <c r="GCB1" s="935"/>
      <c r="GCC1" s="935"/>
      <c r="GCD1" s="935"/>
      <c r="GCE1" s="935"/>
      <c r="GCF1" s="935"/>
      <c r="GCG1" s="935"/>
      <c r="GCH1" s="935"/>
      <c r="GCI1" s="935"/>
      <c r="GCJ1" s="935"/>
      <c r="GCK1" s="935"/>
      <c r="GCL1" s="935"/>
      <c r="GCM1" s="935"/>
      <c r="GCN1" s="935"/>
      <c r="GCO1" s="935"/>
      <c r="GCP1" s="935"/>
      <c r="GCQ1" s="935"/>
      <c r="GCR1" s="935"/>
      <c r="GCS1" s="935"/>
      <c r="GCT1" s="935"/>
      <c r="GCU1" s="935"/>
      <c r="GCV1" s="935"/>
      <c r="GCW1" s="935"/>
      <c r="GCX1" s="935"/>
      <c r="GCY1" s="935"/>
      <c r="GCZ1" s="935"/>
      <c r="GDA1" s="935"/>
      <c r="GDB1" s="935"/>
      <c r="GDC1" s="935"/>
      <c r="GDD1" s="935"/>
      <c r="GDE1" s="935"/>
      <c r="GDF1" s="935"/>
      <c r="GDG1" s="935"/>
      <c r="GDH1" s="935"/>
      <c r="GDI1" s="935"/>
      <c r="GDJ1" s="935"/>
      <c r="GDK1" s="935"/>
      <c r="GDL1" s="935"/>
      <c r="GDM1" s="935"/>
      <c r="GDN1" s="935"/>
      <c r="GDO1" s="935"/>
      <c r="GDP1" s="935"/>
      <c r="GDQ1" s="935"/>
      <c r="GDR1" s="935"/>
      <c r="GDS1" s="935"/>
      <c r="GDT1" s="935"/>
      <c r="GDU1" s="935"/>
      <c r="GDV1" s="935"/>
      <c r="GDW1" s="935"/>
      <c r="GDX1" s="935"/>
      <c r="GDY1" s="935"/>
      <c r="GDZ1" s="935"/>
      <c r="GEA1" s="935"/>
      <c r="GEB1" s="935"/>
      <c r="GEC1" s="935"/>
      <c r="GED1" s="935"/>
      <c r="GEE1" s="935"/>
      <c r="GEF1" s="935"/>
      <c r="GEG1" s="935"/>
      <c r="GEH1" s="935"/>
      <c r="GEI1" s="935"/>
      <c r="GEJ1" s="935"/>
      <c r="GEK1" s="935"/>
      <c r="GEL1" s="935"/>
      <c r="GEM1" s="935"/>
      <c r="GEN1" s="935"/>
      <c r="GEO1" s="935"/>
      <c r="GEP1" s="935"/>
      <c r="GEQ1" s="935"/>
      <c r="GER1" s="935"/>
      <c r="GES1" s="935"/>
      <c r="GET1" s="935"/>
      <c r="GEU1" s="935"/>
      <c r="GEV1" s="935"/>
      <c r="GEW1" s="935"/>
      <c r="GEX1" s="935"/>
      <c r="GEY1" s="935"/>
      <c r="GEZ1" s="935"/>
      <c r="GFA1" s="935"/>
      <c r="GFB1" s="935"/>
      <c r="GFC1" s="935"/>
      <c r="GFD1" s="935"/>
      <c r="GFE1" s="935"/>
      <c r="GFF1" s="935"/>
      <c r="GFG1" s="935"/>
      <c r="GFH1" s="935"/>
      <c r="GFI1" s="935"/>
      <c r="GFJ1" s="935"/>
      <c r="GFK1" s="935"/>
      <c r="GFL1" s="935"/>
      <c r="GFM1" s="935"/>
      <c r="GFN1" s="935"/>
      <c r="GFO1" s="935"/>
      <c r="GFP1" s="935"/>
      <c r="GFQ1" s="935"/>
      <c r="GFR1" s="935"/>
      <c r="GFS1" s="935"/>
      <c r="GFT1" s="935"/>
      <c r="GFU1" s="935"/>
      <c r="GFV1" s="935"/>
      <c r="GFW1" s="935"/>
      <c r="GFX1" s="935"/>
      <c r="GFY1" s="935"/>
      <c r="GFZ1" s="935"/>
      <c r="GGA1" s="935"/>
      <c r="GGB1" s="935"/>
      <c r="GGC1" s="935"/>
      <c r="GGD1" s="935"/>
      <c r="GGE1" s="935"/>
      <c r="GGF1" s="935"/>
      <c r="GGG1" s="935"/>
      <c r="GGH1" s="935"/>
      <c r="GGI1" s="935"/>
      <c r="GGJ1" s="935"/>
      <c r="GGK1" s="935"/>
      <c r="GGL1" s="935"/>
      <c r="GGM1" s="935"/>
      <c r="GGN1" s="935"/>
      <c r="GGO1" s="935"/>
      <c r="GGP1" s="935"/>
      <c r="GGQ1" s="935"/>
      <c r="GGR1" s="935"/>
      <c r="GGS1" s="935"/>
      <c r="GGT1" s="935"/>
      <c r="GGU1" s="935"/>
      <c r="GGV1" s="935"/>
      <c r="GGW1" s="935"/>
      <c r="GGX1" s="935"/>
      <c r="GGY1" s="935"/>
      <c r="GGZ1" s="935"/>
      <c r="GHA1" s="935"/>
      <c r="GHB1" s="935"/>
      <c r="GHC1" s="935"/>
      <c r="GHD1" s="935"/>
      <c r="GHE1" s="935"/>
      <c r="GHF1" s="935"/>
      <c r="GHG1" s="935"/>
      <c r="GHH1" s="935"/>
      <c r="GHI1" s="935"/>
      <c r="GHJ1" s="935"/>
      <c r="GHK1" s="935"/>
      <c r="GHL1" s="935"/>
      <c r="GHM1" s="935"/>
      <c r="GHN1" s="935"/>
      <c r="GHO1" s="935"/>
      <c r="GHP1" s="935"/>
      <c r="GHQ1" s="935"/>
      <c r="GHR1" s="935"/>
      <c r="GHS1" s="935"/>
      <c r="GHT1" s="935"/>
      <c r="GHU1" s="935"/>
      <c r="GHV1" s="935"/>
      <c r="GHW1" s="935"/>
      <c r="GHX1" s="935"/>
      <c r="GHY1" s="935"/>
      <c r="GHZ1" s="935"/>
      <c r="GIA1" s="935"/>
      <c r="GIB1" s="935"/>
      <c r="GIC1" s="935"/>
      <c r="GID1" s="935"/>
      <c r="GIE1" s="935"/>
      <c r="GIF1" s="935"/>
      <c r="GIG1" s="935"/>
      <c r="GIH1" s="935"/>
      <c r="GII1" s="935"/>
      <c r="GIJ1" s="935"/>
      <c r="GIK1" s="935"/>
      <c r="GIL1" s="935"/>
      <c r="GIM1" s="935"/>
      <c r="GIN1" s="935"/>
      <c r="GIO1" s="935"/>
      <c r="GIP1" s="935"/>
      <c r="GIQ1" s="935"/>
      <c r="GIR1" s="935"/>
      <c r="GIS1" s="935"/>
      <c r="GIT1" s="935"/>
      <c r="GIU1" s="935"/>
      <c r="GIV1" s="935"/>
      <c r="GIW1" s="935"/>
      <c r="GIX1" s="935"/>
      <c r="GIY1" s="935"/>
      <c r="GIZ1" s="935"/>
      <c r="GJA1" s="935"/>
      <c r="GJB1" s="935"/>
      <c r="GJC1" s="935"/>
      <c r="GJD1" s="935"/>
      <c r="GJE1" s="935"/>
      <c r="GJF1" s="935"/>
      <c r="GJG1" s="935"/>
      <c r="GJH1" s="935"/>
      <c r="GJI1" s="935"/>
      <c r="GJJ1" s="935"/>
      <c r="GJK1" s="935"/>
      <c r="GJL1" s="935"/>
      <c r="GJM1" s="935"/>
      <c r="GJN1" s="935"/>
      <c r="GJO1" s="935"/>
      <c r="GJP1" s="935"/>
      <c r="GJQ1" s="935"/>
      <c r="GJR1" s="935"/>
      <c r="GJS1" s="935"/>
      <c r="GJT1" s="935"/>
      <c r="GJU1" s="935"/>
      <c r="GJV1" s="935"/>
      <c r="GJW1" s="935"/>
      <c r="GJX1" s="935"/>
      <c r="GJY1" s="935"/>
      <c r="GJZ1" s="935"/>
      <c r="GKA1" s="935"/>
      <c r="GKB1" s="935"/>
      <c r="GKC1" s="935"/>
      <c r="GKD1" s="935"/>
      <c r="GKE1" s="935"/>
      <c r="GKF1" s="935"/>
      <c r="GKG1" s="935"/>
      <c r="GKH1" s="935"/>
      <c r="GKI1" s="935"/>
      <c r="GKJ1" s="935"/>
      <c r="GKK1" s="935"/>
      <c r="GKL1" s="935"/>
      <c r="GKM1" s="935"/>
      <c r="GKN1" s="935"/>
      <c r="GKO1" s="935"/>
      <c r="GKP1" s="935"/>
      <c r="GKQ1" s="935"/>
      <c r="GKR1" s="935"/>
      <c r="GKS1" s="935"/>
      <c r="GKT1" s="935"/>
      <c r="GKU1" s="935"/>
      <c r="GKV1" s="935"/>
      <c r="GKW1" s="935"/>
      <c r="GKX1" s="935"/>
      <c r="GKY1" s="935"/>
      <c r="GKZ1" s="935"/>
      <c r="GLA1" s="935"/>
      <c r="GLB1" s="935"/>
      <c r="GLC1" s="935"/>
      <c r="GLD1" s="935"/>
      <c r="GLE1" s="935"/>
      <c r="GLF1" s="935"/>
      <c r="GLG1" s="935"/>
      <c r="GLH1" s="935"/>
      <c r="GLI1" s="935"/>
      <c r="GLJ1" s="935"/>
      <c r="GLK1" s="935"/>
      <c r="GLL1" s="935"/>
      <c r="GLM1" s="935"/>
      <c r="GLN1" s="935"/>
      <c r="GLO1" s="935"/>
      <c r="GLP1" s="935"/>
      <c r="GLQ1" s="935"/>
      <c r="GLR1" s="935"/>
      <c r="GLS1" s="935"/>
      <c r="GLT1" s="935"/>
      <c r="GLU1" s="935"/>
      <c r="GLV1" s="935"/>
      <c r="GLW1" s="935"/>
      <c r="GLX1" s="935"/>
      <c r="GLY1" s="935"/>
      <c r="GLZ1" s="935"/>
      <c r="GMA1" s="935"/>
      <c r="GMB1" s="935"/>
      <c r="GMC1" s="935"/>
      <c r="GMD1" s="935"/>
      <c r="GME1" s="935"/>
      <c r="GMF1" s="935"/>
      <c r="GMG1" s="935"/>
      <c r="GMH1" s="935"/>
      <c r="GMI1" s="935"/>
      <c r="GMJ1" s="935"/>
      <c r="GMK1" s="935"/>
      <c r="GML1" s="935"/>
      <c r="GMM1" s="935"/>
      <c r="GMN1" s="935"/>
      <c r="GMO1" s="935"/>
      <c r="GMP1" s="935"/>
      <c r="GMQ1" s="935"/>
      <c r="GMR1" s="935"/>
      <c r="GMS1" s="935"/>
      <c r="GMT1" s="935"/>
      <c r="GMU1" s="935"/>
      <c r="GMV1" s="935"/>
      <c r="GMW1" s="935"/>
      <c r="GMX1" s="935"/>
      <c r="GMY1" s="935"/>
      <c r="GMZ1" s="935"/>
      <c r="GNA1" s="935"/>
      <c r="GNB1" s="935"/>
      <c r="GNC1" s="935"/>
      <c r="GND1" s="935"/>
      <c r="GNE1" s="935"/>
      <c r="GNF1" s="935"/>
      <c r="GNG1" s="935"/>
      <c r="GNH1" s="935"/>
      <c r="GNI1" s="935"/>
      <c r="GNJ1" s="935"/>
      <c r="GNK1" s="935"/>
      <c r="GNL1" s="935"/>
      <c r="GNM1" s="935"/>
      <c r="GNN1" s="935"/>
      <c r="GNO1" s="935"/>
      <c r="GNP1" s="935"/>
      <c r="GNQ1" s="935"/>
      <c r="GNR1" s="935"/>
      <c r="GNS1" s="935"/>
      <c r="GNT1" s="935"/>
      <c r="GNU1" s="935"/>
      <c r="GNV1" s="935"/>
      <c r="GNW1" s="935"/>
      <c r="GNX1" s="935"/>
      <c r="GNY1" s="935"/>
      <c r="GNZ1" s="935"/>
      <c r="GOA1" s="935"/>
      <c r="GOB1" s="935"/>
      <c r="GOC1" s="935"/>
      <c r="GOD1" s="935"/>
      <c r="GOE1" s="935"/>
      <c r="GOF1" s="935"/>
      <c r="GOG1" s="935"/>
      <c r="GOH1" s="935"/>
      <c r="GOI1" s="935"/>
      <c r="GOJ1" s="935"/>
      <c r="GOK1" s="935"/>
      <c r="GOL1" s="935"/>
      <c r="GOM1" s="935"/>
      <c r="GON1" s="935"/>
      <c r="GOO1" s="935"/>
      <c r="GOP1" s="935"/>
      <c r="GOQ1" s="935"/>
      <c r="GOR1" s="935"/>
      <c r="GOS1" s="935"/>
      <c r="GOT1" s="935"/>
      <c r="GOU1" s="935"/>
      <c r="GOV1" s="935"/>
      <c r="GOW1" s="935"/>
      <c r="GOX1" s="935"/>
      <c r="GOY1" s="935"/>
      <c r="GOZ1" s="935"/>
      <c r="GPA1" s="935"/>
      <c r="GPB1" s="935"/>
      <c r="GPC1" s="935"/>
      <c r="GPD1" s="935"/>
      <c r="GPE1" s="935"/>
      <c r="GPF1" s="935"/>
      <c r="GPG1" s="935"/>
      <c r="GPH1" s="935"/>
      <c r="GPI1" s="935"/>
      <c r="GPJ1" s="935"/>
      <c r="GPK1" s="935"/>
      <c r="GPL1" s="935"/>
      <c r="GPM1" s="935"/>
      <c r="GPN1" s="935"/>
      <c r="GPO1" s="935"/>
      <c r="GPP1" s="935"/>
      <c r="GPQ1" s="935"/>
      <c r="GPR1" s="935"/>
      <c r="GPS1" s="935"/>
      <c r="GPT1" s="935"/>
      <c r="GPU1" s="935"/>
      <c r="GPV1" s="935"/>
      <c r="GPW1" s="935"/>
      <c r="GPX1" s="935"/>
      <c r="GPY1" s="935"/>
      <c r="GPZ1" s="935"/>
      <c r="GQA1" s="935"/>
      <c r="GQB1" s="935"/>
      <c r="GQC1" s="935"/>
      <c r="GQD1" s="935"/>
      <c r="GQE1" s="935"/>
      <c r="GQF1" s="935"/>
      <c r="GQG1" s="935"/>
      <c r="GQH1" s="935"/>
      <c r="GQI1" s="935"/>
      <c r="GQJ1" s="935"/>
      <c r="GQK1" s="935"/>
      <c r="GQL1" s="935"/>
      <c r="GQM1" s="935"/>
      <c r="GQN1" s="935"/>
      <c r="GQO1" s="935"/>
      <c r="GQP1" s="935"/>
      <c r="GQQ1" s="935"/>
      <c r="GQR1" s="935"/>
      <c r="GQS1" s="935"/>
      <c r="GQT1" s="935"/>
      <c r="GQU1" s="935"/>
      <c r="GQV1" s="935"/>
      <c r="GQW1" s="935"/>
      <c r="GQX1" s="935"/>
      <c r="GQY1" s="935"/>
      <c r="GQZ1" s="935"/>
      <c r="GRA1" s="935"/>
      <c r="GRB1" s="935"/>
      <c r="GRC1" s="935"/>
      <c r="GRD1" s="935"/>
      <c r="GRE1" s="935"/>
      <c r="GRF1" s="935"/>
      <c r="GRG1" s="935"/>
      <c r="GRH1" s="935"/>
      <c r="GRI1" s="935"/>
      <c r="GRJ1" s="935"/>
      <c r="GRK1" s="935"/>
      <c r="GRL1" s="935"/>
      <c r="GRM1" s="935"/>
      <c r="GRN1" s="935"/>
      <c r="GRO1" s="935"/>
      <c r="GRP1" s="935"/>
      <c r="GRQ1" s="935"/>
      <c r="GRR1" s="935"/>
      <c r="GRS1" s="935"/>
      <c r="GRT1" s="935"/>
      <c r="GRU1" s="935"/>
      <c r="GRV1" s="935"/>
      <c r="GRW1" s="935"/>
      <c r="GRX1" s="935"/>
      <c r="GRY1" s="935"/>
      <c r="GRZ1" s="935"/>
      <c r="GSA1" s="935"/>
      <c r="GSB1" s="935"/>
      <c r="GSC1" s="935"/>
      <c r="GSD1" s="935"/>
      <c r="GSE1" s="935"/>
      <c r="GSF1" s="935"/>
      <c r="GSG1" s="935"/>
      <c r="GSH1" s="935"/>
      <c r="GSI1" s="935"/>
      <c r="GSJ1" s="935"/>
      <c r="GSK1" s="935"/>
      <c r="GSL1" s="935"/>
      <c r="GSM1" s="935"/>
      <c r="GSN1" s="935"/>
      <c r="GSO1" s="935"/>
      <c r="GSP1" s="935"/>
      <c r="GSQ1" s="935"/>
      <c r="GSR1" s="935"/>
      <c r="GSS1" s="935"/>
      <c r="GST1" s="935"/>
      <c r="GSU1" s="935"/>
      <c r="GSV1" s="935"/>
      <c r="GSW1" s="935"/>
      <c r="GSX1" s="935"/>
      <c r="GSY1" s="935"/>
      <c r="GSZ1" s="935"/>
      <c r="GTA1" s="935"/>
      <c r="GTB1" s="935"/>
      <c r="GTC1" s="935"/>
      <c r="GTD1" s="935"/>
      <c r="GTE1" s="935"/>
      <c r="GTF1" s="935"/>
      <c r="GTG1" s="935"/>
      <c r="GTH1" s="935"/>
      <c r="GTI1" s="935"/>
      <c r="GTJ1" s="935"/>
      <c r="GTK1" s="935"/>
      <c r="GTL1" s="935"/>
      <c r="GTM1" s="935"/>
      <c r="GTN1" s="935"/>
      <c r="GTO1" s="935"/>
      <c r="GTP1" s="935"/>
      <c r="GTQ1" s="935"/>
      <c r="GTR1" s="935"/>
      <c r="GTS1" s="935"/>
      <c r="GTT1" s="935"/>
      <c r="GTU1" s="935"/>
      <c r="GTV1" s="935"/>
      <c r="GTW1" s="935"/>
      <c r="GTX1" s="935"/>
      <c r="GTY1" s="935"/>
      <c r="GTZ1" s="935"/>
      <c r="GUA1" s="935"/>
      <c r="GUB1" s="935"/>
      <c r="GUC1" s="935"/>
      <c r="GUD1" s="935"/>
      <c r="GUE1" s="935"/>
      <c r="GUF1" s="935"/>
      <c r="GUG1" s="935"/>
      <c r="GUH1" s="935"/>
      <c r="GUI1" s="935"/>
      <c r="GUJ1" s="935"/>
      <c r="GUK1" s="935"/>
      <c r="GUL1" s="935"/>
      <c r="GUM1" s="935"/>
      <c r="GUN1" s="935"/>
      <c r="GUO1" s="935"/>
      <c r="GUP1" s="935"/>
      <c r="GUQ1" s="935"/>
      <c r="GUR1" s="935"/>
      <c r="GUS1" s="935"/>
      <c r="GUT1" s="935"/>
      <c r="GUU1" s="935"/>
      <c r="GUV1" s="935"/>
      <c r="GUW1" s="935"/>
      <c r="GUX1" s="935"/>
      <c r="GUY1" s="935"/>
      <c r="GUZ1" s="935"/>
      <c r="GVA1" s="935"/>
      <c r="GVB1" s="935"/>
      <c r="GVC1" s="935"/>
      <c r="GVD1" s="935"/>
      <c r="GVE1" s="935"/>
      <c r="GVF1" s="935"/>
      <c r="GVG1" s="935"/>
      <c r="GVH1" s="935"/>
      <c r="GVI1" s="935"/>
      <c r="GVJ1" s="935"/>
      <c r="GVK1" s="935"/>
      <c r="GVL1" s="935"/>
      <c r="GVM1" s="935"/>
      <c r="GVN1" s="935"/>
      <c r="GVO1" s="935"/>
      <c r="GVP1" s="935"/>
      <c r="GVQ1" s="935"/>
      <c r="GVR1" s="935"/>
      <c r="GVS1" s="935"/>
      <c r="GVT1" s="935"/>
      <c r="GVU1" s="935"/>
      <c r="GVV1" s="935"/>
      <c r="GVW1" s="935"/>
      <c r="GVX1" s="935"/>
      <c r="GVY1" s="935"/>
      <c r="GVZ1" s="935"/>
      <c r="GWA1" s="935"/>
      <c r="GWB1" s="935"/>
      <c r="GWC1" s="935"/>
      <c r="GWD1" s="935"/>
      <c r="GWE1" s="935"/>
      <c r="GWF1" s="935"/>
      <c r="GWG1" s="935"/>
      <c r="GWH1" s="935"/>
      <c r="GWI1" s="935"/>
      <c r="GWJ1" s="935"/>
      <c r="GWK1" s="935"/>
      <c r="GWL1" s="935"/>
      <c r="GWM1" s="935"/>
      <c r="GWN1" s="935"/>
      <c r="GWO1" s="935"/>
      <c r="GWP1" s="935"/>
      <c r="GWQ1" s="935"/>
      <c r="GWR1" s="935"/>
      <c r="GWS1" s="935"/>
      <c r="GWT1" s="935"/>
      <c r="GWU1" s="935"/>
      <c r="GWV1" s="935"/>
      <c r="GWW1" s="935"/>
      <c r="GWX1" s="935"/>
      <c r="GWY1" s="935"/>
      <c r="GWZ1" s="935"/>
      <c r="GXA1" s="935"/>
      <c r="GXB1" s="935"/>
      <c r="GXC1" s="935"/>
      <c r="GXD1" s="935"/>
      <c r="GXE1" s="935"/>
      <c r="GXF1" s="935"/>
      <c r="GXG1" s="935"/>
      <c r="GXH1" s="935"/>
      <c r="GXI1" s="935"/>
      <c r="GXJ1" s="935"/>
      <c r="GXK1" s="935"/>
      <c r="GXL1" s="935"/>
      <c r="GXM1" s="935"/>
      <c r="GXN1" s="935"/>
      <c r="GXO1" s="935"/>
      <c r="GXP1" s="935"/>
      <c r="GXQ1" s="935"/>
      <c r="GXR1" s="935"/>
      <c r="GXS1" s="935"/>
      <c r="GXT1" s="935"/>
      <c r="GXU1" s="935"/>
      <c r="GXV1" s="935"/>
      <c r="GXW1" s="935"/>
      <c r="GXX1" s="935"/>
      <c r="GXY1" s="935"/>
      <c r="GXZ1" s="935"/>
      <c r="GYA1" s="935"/>
      <c r="GYB1" s="935"/>
      <c r="GYC1" s="935"/>
      <c r="GYD1" s="935"/>
      <c r="GYE1" s="935"/>
      <c r="GYF1" s="935"/>
      <c r="GYG1" s="935"/>
      <c r="GYH1" s="935"/>
      <c r="GYI1" s="935"/>
      <c r="GYJ1" s="935"/>
      <c r="GYK1" s="935"/>
      <c r="GYL1" s="935"/>
      <c r="GYM1" s="935"/>
      <c r="GYN1" s="935"/>
      <c r="GYO1" s="935"/>
      <c r="GYP1" s="935"/>
      <c r="GYQ1" s="935"/>
      <c r="GYR1" s="935"/>
      <c r="GYS1" s="935"/>
      <c r="GYT1" s="935"/>
      <c r="GYU1" s="935"/>
      <c r="GYV1" s="935"/>
      <c r="GYW1" s="935"/>
      <c r="GYX1" s="935"/>
      <c r="GYY1" s="935"/>
      <c r="GYZ1" s="935"/>
      <c r="GZA1" s="935"/>
      <c r="GZB1" s="935"/>
      <c r="GZC1" s="935"/>
      <c r="GZD1" s="935"/>
      <c r="GZE1" s="935"/>
      <c r="GZF1" s="935"/>
      <c r="GZG1" s="935"/>
      <c r="GZH1" s="935"/>
      <c r="GZI1" s="935"/>
      <c r="GZJ1" s="935"/>
      <c r="GZK1" s="935"/>
      <c r="GZL1" s="935"/>
      <c r="GZM1" s="935"/>
      <c r="GZN1" s="935"/>
      <c r="GZO1" s="935"/>
      <c r="GZP1" s="935"/>
      <c r="GZQ1" s="935"/>
      <c r="GZR1" s="935"/>
      <c r="GZS1" s="935"/>
      <c r="GZT1" s="935"/>
      <c r="GZU1" s="935"/>
      <c r="GZV1" s="935"/>
      <c r="GZW1" s="935"/>
      <c r="GZX1" s="935"/>
      <c r="GZY1" s="935"/>
      <c r="GZZ1" s="935"/>
      <c r="HAA1" s="935"/>
      <c r="HAB1" s="935"/>
      <c r="HAC1" s="935"/>
      <c r="HAD1" s="935"/>
      <c r="HAE1" s="935"/>
      <c r="HAF1" s="935"/>
      <c r="HAG1" s="935"/>
      <c r="HAH1" s="935"/>
      <c r="HAI1" s="935"/>
      <c r="HAJ1" s="935"/>
      <c r="HAK1" s="935"/>
      <c r="HAL1" s="935"/>
      <c r="HAM1" s="935"/>
      <c r="HAN1" s="935"/>
      <c r="HAO1" s="935"/>
      <c r="HAP1" s="935"/>
      <c r="HAQ1" s="935"/>
      <c r="HAR1" s="935"/>
      <c r="HAS1" s="935"/>
      <c r="HAT1" s="935"/>
      <c r="HAU1" s="935"/>
      <c r="HAV1" s="935"/>
      <c r="HAW1" s="935"/>
      <c r="HAX1" s="935"/>
      <c r="HAY1" s="935"/>
      <c r="HAZ1" s="935"/>
      <c r="HBA1" s="935"/>
      <c r="HBB1" s="935"/>
      <c r="HBC1" s="935"/>
      <c r="HBD1" s="935"/>
      <c r="HBE1" s="935"/>
      <c r="HBF1" s="935"/>
      <c r="HBG1" s="935"/>
      <c r="HBH1" s="935"/>
      <c r="HBI1" s="935"/>
      <c r="HBJ1" s="935"/>
      <c r="HBK1" s="935"/>
      <c r="HBL1" s="935"/>
      <c r="HBM1" s="935"/>
      <c r="HBN1" s="935"/>
      <c r="HBO1" s="935"/>
      <c r="HBP1" s="935"/>
      <c r="HBQ1" s="935"/>
      <c r="HBR1" s="935"/>
      <c r="HBS1" s="935"/>
      <c r="HBT1" s="935"/>
      <c r="HBU1" s="935"/>
      <c r="HBV1" s="935"/>
      <c r="HBW1" s="935"/>
      <c r="HBX1" s="935"/>
      <c r="HBY1" s="935"/>
      <c r="HBZ1" s="935"/>
      <c r="HCA1" s="935"/>
      <c r="HCB1" s="935"/>
      <c r="HCC1" s="935"/>
      <c r="HCD1" s="935"/>
      <c r="HCE1" s="935"/>
      <c r="HCF1" s="935"/>
      <c r="HCG1" s="935"/>
      <c r="HCH1" s="935"/>
      <c r="HCI1" s="935"/>
      <c r="HCJ1" s="935"/>
      <c r="HCK1" s="935"/>
      <c r="HCL1" s="935"/>
      <c r="HCM1" s="935"/>
      <c r="HCN1" s="935"/>
      <c r="HCO1" s="935"/>
      <c r="HCP1" s="935"/>
      <c r="HCQ1" s="935"/>
      <c r="HCR1" s="935"/>
      <c r="HCS1" s="935"/>
      <c r="HCT1" s="935"/>
      <c r="HCU1" s="935"/>
      <c r="HCV1" s="935"/>
      <c r="HCW1" s="935"/>
      <c r="HCX1" s="935"/>
      <c r="HCY1" s="935"/>
      <c r="HCZ1" s="935"/>
      <c r="HDA1" s="935"/>
      <c r="HDB1" s="935"/>
      <c r="HDC1" s="935"/>
      <c r="HDD1" s="935"/>
      <c r="HDE1" s="935"/>
      <c r="HDF1" s="935"/>
      <c r="HDG1" s="935"/>
      <c r="HDH1" s="935"/>
      <c r="HDI1" s="935"/>
      <c r="HDJ1" s="935"/>
      <c r="HDK1" s="935"/>
      <c r="HDL1" s="935"/>
      <c r="HDM1" s="935"/>
      <c r="HDN1" s="935"/>
      <c r="HDO1" s="935"/>
      <c r="HDP1" s="935"/>
      <c r="HDQ1" s="935"/>
      <c r="HDR1" s="935"/>
      <c r="HDS1" s="935"/>
      <c r="HDT1" s="935"/>
      <c r="HDU1" s="935"/>
      <c r="HDV1" s="935"/>
      <c r="HDW1" s="935"/>
      <c r="HDX1" s="935"/>
      <c r="HDY1" s="935"/>
      <c r="HDZ1" s="935"/>
      <c r="HEA1" s="935"/>
      <c r="HEB1" s="935"/>
      <c r="HEC1" s="935"/>
      <c r="HED1" s="935"/>
      <c r="HEE1" s="935"/>
      <c r="HEF1" s="935"/>
      <c r="HEG1" s="935"/>
      <c r="HEH1" s="935"/>
      <c r="HEI1" s="935"/>
      <c r="HEJ1" s="935"/>
      <c r="HEK1" s="935"/>
      <c r="HEL1" s="935"/>
      <c r="HEM1" s="935"/>
      <c r="HEN1" s="935"/>
      <c r="HEO1" s="935"/>
      <c r="HEP1" s="935"/>
      <c r="HEQ1" s="935"/>
      <c r="HER1" s="935"/>
      <c r="HES1" s="935"/>
      <c r="HET1" s="935"/>
      <c r="HEU1" s="935"/>
      <c r="HEV1" s="935"/>
      <c r="HEW1" s="935"/>
      <c r="HEX1" s="935"/>
      <c r="HEY1" s="935"/>
      <c r="HEZ1" s="935"/>
      <c r="HFA1" s="935"/>
      <c r="HFB1" s="935"/>
      <c r="HFC1" s="935"/>
      <c r="HFD1" s="935"/>
      <c r="HFE1" s="935"/>
      <c r="HFF1" s="935"/>
      <c r="HFG1" s="935"/>
      <c r="HFH1" s="935"/>
      <c r="HFI1" s="935"/>
      <c r="HFJ1" s="935"/>
      <c r="HFK1" s="935"/>
      <c r="HFL1" s="935"/>
      <c r="HFM1" s="935"/>
      <c r="HFN1" s="935"/>
      <c r="HFO1" s="935"/>
      <c r="HFP1" s="935"/>
      <c r="HFQ1" s="935"/>
      <c r="HFR1" s="935"/>
      <c r="HFS1" s="935"/>
      <c r="HFT1" s="935"/>
      <c r="HFU1" s="935"/>
      <c r="HFV1" s="935"/>
      <c r="HFW1" s="935"/>
      <c r="HFX1" s="935"/>
      <c r="HFY1" s="935"/>
      <c r="HFZ1" s="935"/>
      <c r="HGA1" s="935"/>
      <c r="HGB1" s="935"/>
      <c r="HGC1" s="935"/>
      <c r="HGD1" s="935"/>
      <c r="HGE1" s="935"/>
      <c r="HGF1" s="935"/>
      <c r="HGG1" s="935"/>
      <c r="HGH1" s="935"/>
      <c r="HGI1" s="935"/>
      <c r="HGJ1" s="935"/>
      <c r="HGK1" s="935"/>
      <c r="HGL1" s="935"/>
      <c r="HGM1" s="935"/>
      <c r="HGN1" s="935"/>
      <c r="HGO1" s="935"/>
      <c r="HGP1" s="935"/>
      <c r="HGQ1" s="935"/>
      <c r="HGR1" s="935"/>
      <c r="HGS1" s="935"/>
      <c r="HGT1" s="935"/>
      <c r="HGU1" s="935"/>
      <c r="HGV1" s="935"/>
      <c r="HGW1" s="935"/>
      <c r="HGX1" s="935"/>
      <c r="HGY1" s="935"/>
      <c r="HGZ1" s="935"/>
      <c r="HHA1" s="935"/>
      <c r="HHB1" s="935"/>
      <c r="HHC1" s="935"/>
      <c r="HHD1" s="935"/>
      <c r="HHE1" s="935"/>
      <c r="HHF1" s="935"/>
      <c r="HHG1" s="935"/>
      <c r="HHH1" s="935"/>
      <c r="HHI1" s="935"/>
      <c r="HHJ1" s="935"/>
      <c r="HHK1" s="935"/>
      <c r="HHL1" s="935"/>
      <c r="HHM1" s="935"/>
      <c r="HHN1" s="935"/>
      <c r="HHO1" s="935"/>
      <c r="HHP1" s="935"/>
      <c r="HHQ1" s="935"/>
      <c r="HHR1" s="935"/>
      <c r="HHS1" s="935"/>
      <c r="HHT1" s="935"/>
      <c r="HHU1" s="935"/>
      <c r="HHV1" s="935"/>
      <c r="HHW1" s="935"/>
      <c r="HHX1" s="935"/>
      <c r="HHY1" s="935"/>
      <c r="HHZ1" s="935"/>
      <c r="HIA1" s="935"/>
      <c r="HIB1" s="935"/>
      <c r="HIC1" s="935"/>
      <c r="HID1" s="935"/>
      <c r="HIE1" s="935"/>
      <c r="HIF1" s="935"/>
      <c r="HIG1" s="935"/>
      <c r="HIH1" s="935"/>
      <c r="HII1" s="935"/>
      <c r="HIJ1" s="935"/>
      <c r="HIK1" s="935"/>
      <c r="HIL1" s="935"/>
      <c r="HIM1" s="935"/>
      <c r="HIN1" s="935"/>
      <c r="HIO1" s="935"/>
      <c r="HIP1" s="935"/>
      <c r="HIQ1" s="935"/>
      <c r="HIR1" s="935"/>
      <c r="HIS1" s="935"/>
      <c r="HIT1" s="935"/>
      <c r="HIU1" s="935"/>
      <c r="HIV1" s="935"/>
      <c r="HIW1" s="935"/>
      <c r="HIX1" s="935"/>
      <c r="HIY1" s="935"/>
      <c r="HIZ1" s="935"/>
      <c r="HJA1" s="935"/>
      <c r="HJB1" s="935"/>
      <c r="HJC1" s="935"/>
      <c r="HJD1" s="935"/>
      <c r="HJE1" s="935"/>
      <c r="HJF1" s="935"/>
      <c r="HJG1" s="935"/>
      <c r="HJH1" s="935"/>
      <c r="HJI1" s="935"/>
      <c r="HJJ1" s="935"/>
      <c r="HJK1" s="935"/>
      <c r="HJL1" s="935"/>
      <c r="HJM1" s="935"/>
      <c r="HJN1" s="935"/>
      <c r="HJO1" s="935"/>
      <c r="HJP1" s="935"/>
      <c r="HJQ1" s="935"/>
      <c r="HJR1" s="935"/>
      <c r="HJS1" s="935"/>
      <c r="HJT1" s="935"/>
      <c r="HJU1" s="935"/>
      <c r="HJV1" s="935"/>
      <c r="HJW1" s="935"/>
      <c r="HJX1" s="935"/>
      <c r="HJY1" s="935"/>
      <c r="HJZ1" s="935"/>
      <c r="HKA1" s="935"/>
      <c r="HKB1" s="935"/>
      <c r="HKC1" s="935"/>
      <c r="HKD1" s="935"/>
      <c r="HKE1" s="935"/>
      <c r="HKF1" s="935"/>
      <c r="HKG1" s="935"/>
      <c r="HKH1" s="935"/>
      <c r="HKI1" s="935"/>
      <c r="HKJ1" s="935"/>
      <c r="HKK1" s="935"/>
      <c r="HKL1" s="935"/>
      <c r="HKM1" s="935"/>
      <c r="HKN1" s="935"/>
      <c r="HKO1" s="935"/>
      <c r="HKP1" s="935"/>
      <c r="HKQ1" s="935"/>
      <c r="HKR1" s="935"/>
      <c r="HKS1" s="935"/>
      <c r="HKT1" s="935"/>
      <c r="HKU1" s="935"/>
      <c r="HKV1" s="935"/>
      <c r="HKW1" s="935"/>
      <c r="HKX1" s="935"/>
      <c r="HKY1" s="935"/>
      <c r="HKZ1" s="935"/>
      <c r="HLA1" s="935"/>
      <c r="HLB1" s="935"/>
      <c r="HLC1" s="935"/>
      <c r="HLD1" s="935"/>
      <c r="HLE1" s="935"/>
      <c r="HLF1" s="935"/>
      <c r="HLG1" s="935"/>
      <c r="HLH1" s="935"/>
      <c r="HLI1" s="935"/>
      <c r="HLJ1" s="935"/>
      <c r="HLK1" s="935"/>
      <c r="HLL1" s="935"/>
      <c r="HLM1" s="935"/>
      <c r="HLN1" s="935"/>
      <c r="HLO1" s="935"/>
      <c r="HLP1" s="935"/>
      <c r="HLQ1" s="935"/>
      <c r="HLR1" s="935"/>
      <c r="HLS1" s="935"/>
      <c r="HLT1" s="935"/>
      <c r="HLU1" s="935"/>
      <c r="HLV1" s="935"/>
      <c r="HLW1" s="935"/>
      <c r="HLX1" s="935"/>
      <c r="HLY1" s="935"/>
      <c r="HLZ1" s="935"/>
      <c r="HMA1" s="935"/>
      <c r="HMB1" s="935"/>
      <c r="HMC1" s="935"/>
      <c r="HMD1" s="935"/>
      <c r="HME1" s="935"/>
      <c r="HMF1" s="935"/>
      <c r="HMG1" s="935"/>
      <c r="HMH1" s="935"/>
      <c r="HMI1" s="935"/>
      <c r="HMJ1" s="935"/>
      <c r="HMK1" s="935"/>
      <c r="HML1" s="935"/>
      <c r="HMM1" s="935"/>
      <c r="HMN1" s="935"/>
      <c r="HMO1" s="935"/>
      <c r="HMP1" s="935"/>
      <c r="HMQ1" s="935"/>
      <c r="HMR1" s="935"/>
      <c r="HMS1" s="935"/>
      <c r="HMT1" s="935"/>
      <c r="HMU1" s="935"/>
      <c r="HMV1" s="935"/>
      <c r="HMW1" s="935"/>
      <c r="HMX1" s="935"/>
      <c r="HMY1" s="935"/>
      <c r="HMZ1" s="935"/>
      <c r="HNA1" s="935"/>
      <c r="HNB1" s="935"/>
      <c r="HNC1" s="935"/>
      <c r="HND1" s="935"/>
      <c r="HNE1" s="935"/>
      <c r="HNF1" s="935"/>
      <c r="HNG1" s="935"/>
      <c r="HNH1" s="935"/>
      <c r="HNI1" s="935"/>
      <c r="HNJ1" s="935"/>
      <c r="HNK1" s="935"/>
      <c r="HNL1" s="935"/>
      <c r="HNM1" s="935"/>
      <c r="HNN1" s="935"/>
      <c r="HNO1" s="935"/>
      <c r="HNP1" s="935"/>
      <c r="HNQ1" s="935"/>
      <c r="HNR1" s="935"/>
      <c r="HNS1" s="935"/>
      <c r="HNT1" s="935"/>
      <c r="HNU1" s="935"/>
      <c r="HNV1" s="935"/>
      <c r="HNW1" s="935"/>
      <c r="HNX1" s="935"/>
      <c r="HNY1" s="935"/>
      <c r="HNZ1" s="935"/>
      <c r="HOA1" s="935"/>
      <c r="HOB1" s="935"/>
      <c r="HOC1" s="935"/>
      <c r="HOD1" s="935"/>
      <c r="HOE1" s="935"/>
      <c r="HOF1" s="935"/>
      <c r="HOG1" s="935"/>
      <c r="HOH1" s="935"/>
      <c r="HOI1" s="935"/>
      <c r="HOJ1" s="935"/>
      <c r="HOK1" s="935"/>
      <c r="HOL1" s="935"/>
      <c r="HOM1" s="935"/>
      <c r="HON1" s="935"/>
      <c r="HOO1" s="935"/>
      <c r="HOP1" s="935"/>
      <c r="HOQ1" s="935"/>
      <c r="HOR1" s="935"/>
      <c r="HOS1" s="935"/>
      <c r="HOT1" s="935"/>
      <c r="HOU1" s="935"/>
      <c r="HOV1" s="935"/>
      <c r="HOW1" s="935"/>
      <c r="HOX1" s="935"/>
      <c r="HOY1" s="935"/>
      <c r="HOZ1" s="935"/>
      <c r="HPA1" s="935"/>
      <c r="HPB1" s="935"/>
      <c r="HPC1" s="935"/>
      <c r="HPD1" s="935"/>
      <c r="HPE1" s="935"/>
      <c r="HPF1" s="935"/>
      <c r="HPG1" s="935"/>
      <c r="HPH1" s="935"/>
      <c r="HPI1" s="935"/>
      <c r="HPJ1" s="935"/>
      <c r="HPK1" s="935"/>
      <c r="HPL1" s="935"/>
      <c r="HPM1" s="935"/>
      <c r="HPN1" s="935"/>
      <c r="HPO1" s="935"/>
      <c r="HPP1" s="935"/>
      <c r="HPQ1" s="935"/>
      <c r="HPR1" s="935"/>
      <c r="HPS1" s="935"/>
      <c r="HPT1" s="935"/>
      <c r="HPU1" s="935"/>
      <c r="HPV1" s="935"/>
      <c r="HPW1" s="935"/>
      <c r="HPX1" s="935"/>
      <c r="HPY1" s="935"/>
      <c r="HPZ1" s="935"/>
      <c r="HQA1" s="935"/>
      <c r="HQB1" s="935"/>
      <c r="HQC1" s="935"/>
      <c r="HQD1" s="935"/>
      <c r="HQE1" s="935"/>
      <c r="HQF1" s="935"/>
      <c r="HQG1" s="935"/>
      <c r="HQH1" s="935"/>
      <c r="HQI1" s="935"/>
      <c r="HQJ1" s="935"/>
      <c r="HQK1" s="935"/>
      <c r="HQL1" s="935"/>
      <c r="HQM1" s="935"/>
      <c r="HQN1" s="935"/>
      <c r="HQO1" s="935"/>
      <c r="HQP1" s="935"/>
      <c r="HQQ1" s="935"/>
      <c r="HQR1" s="935"/>
      <c r="HQS1" s="935"/>
      <c r="HQT1" s="935"/>
      <c r="HQU1" s="935"/>
      <c r="HQV1" s="935"/>
      <c r="HQW1" s="935"/>
      <c r="HQX1" s="935"/>
      <c r="HQY1" s="935"/>
      <c r="HQZ1" s="935"/>
      <c r="HRA1" s="935"/>
      <c r="HRB1" s="935"/>
      <c r="HRC1" s="935"/>
      <c r="HRD1" s="935"/>
      <c r="HRE1" s="935"/>
      <c r="HRF1" s="935"/>
      <c r="HRG1" s="935"/>
      <c r="HRH1" s="935"/>
      <c r="HRI1" s="935"/>
      <c r="HRJ1" s="935"/>
      <c r="HRK1" s="935"/>
      <c r="HRL1" s="935"/>
      <c r="HRM1" s="935"/>
      <c r="HRN1" s="935"/>
      <c r="HRO1" s="935"/>
      <c r="HRP1" s="935"/>
      <c r="HRQ1" s="935"/>
      <c r="HRR1" s="935"/>
      <c r="HRS1" s="935"/>
      <c r="HRT1" s="935"/>
      <c r="HRU1" s="935"/>
      <c r="HRV1" s="935"/>
      <c r="HRW1" s="935"/>
      <c r="HRX1" s="935"/>
      <c r="HRY1" s="935"/>
      <c r="HRZ1" s="935"/>
      <c r="HSA1" s="935"/>
      <c r="HSB1" s="935"/>
      <c r="HSC1" s="935"/>
      <c r="HSD1" s="935"/>
      <c r="HSE1" s="935"/>
      <c r="HSF1" s="935"/>
      <c r="HSG1" s="935"/>
      <c r="HSH1" s="935"/>
      <c r="HSI1" s="935"/>
      <c r="HSJ1" s="935"/>
      <c r="HSK1" s="935"/>
      <c r="HSL1" s="935"/>
      <c r="HSM1" s="935"/>
      <c r="HSN1" s="935"/>
      <c r="HSO1" s="935"/>
      <c r="HSP1" s="935"/>
      <c r="HSQ1" s="935"/>
      <c r="HSR1" s="935"/>
      <c r="HSS1" s="935"/>
      <c r="HST1" s="935"/>
      <c r="HSU1" s="935"/>
      <c r="HSV1" s="935"/>
      <c r="HSW1" s="935"/>
      <c r="HSX1" s="935"/>
      <c r="HSY1" s="935"/>
      <c r="HSZ1" s="935"/>
      <c r="HTA1" s="935"/>
      <c r="HTB1" s="935"/>
      <c r="HTC1" s="935"/>
      <c r="HTD1" s="935"/>
      <c r="HTE1" s="935"/>
      <c r="HTF1" s="935"/>
      <c r="HTG1" s="935"/>
      <c r="HTH1" s="935"/>
      <c r="HTI1" s="935"/>
      <c r="HTJ1" s="935"/>
      <c r="HTK1" s="935"/>
      <c r="HTL1" s="935"/>
      <c r="HTM1" s="935"/>
      <c r="HTN1" s="935"/>
      <c r="HTO1" s="935"/>
      <c r="HTP1" s="935"/>
      <c r="HTQ1" s="935"/>
      <c r="HTR1" s="935"/>
      <c r="HTS1" s="935"/>
      <c r="HTT1" s="935"/>
      <c r="HTU1" s="935"/>
      <c r="HTV1" s="935"/>
      <c r="HTW1" s="935"/>
      <c r="HTX1" s="935"/>
      <c r="HTY1" s="935"/>
      <c r="HTZ1" s="935"/>
      <c r="HUA1" s="935"/>
      <c r="HUB1" s="935"/>
      <c r="HUC1" s="935"/>
      <c r="HUD1" s="935"/>
      <c r="HUE1" s="935"/>
      <c r="HUF1" s="935"/>
      <c r="HUG1" s="935"/>
      <c r="HUH1" s="935"/>
      <c r="HUI1" s="935"/>
      <c r="HUJ1" s="935"/>
      <c r="HUK1" s="935"/>
      <c r="HUL1" s="935"/>
      <c r="HUM1" s="935"/>
      <c r="HUN1" s="935"/>
      <c r="HUO1" s="935"/>
      <c r="HUP1" s="935"/>
      <c r="HUQ1" s="935"/>
      <c r="HUR1" s="935"/>
      <c r="HUS1" s="935"/>
      <c r="HUT1" s="935"/>
      <c r="HUU1" s="935"/>
      <c r="HUV1" s="935"/>
      <c r="HUW1" s="935"/>
      <c r="HUX1" s="935"/>
      <c r="HUY1" s="935"/>
      <c r="HUZ1" s="935"/>
      <c r="HVA1" s="935"/>
      <c r="HVB1" s="935"/>
      <c r="HVC1" s="935"/>
      <c r="HVD1" s="935"/>
      <c r="HVE1" s="935"/>
      <c r="HVF1" s="935"/>
      <c r="HVG1" s="935"/>
      <c r="HVH1" s="935"/>
      <c r="HVI1" s="935"/>
      <c r="HVJ1" s="935"/>
      <c r="HVK1" s="935"/>
      <c r="HVL1" s="935"/>
      <c r="HVM1" s="935"/>
      <c r="HVN1" s="935"/>
      <c r="HVO1" s="935"/>
      <c r="HVP1" s="935"/>
      <c r="HVQ1" s="935"/>
      <c r="HVR1" s="935"/>
      <c r="HVS1" s="935"/>
      <c r="HVT1" s="935"/>
      <c r="HVU1" s="935"/>
      <c r="HVV1" s="935"/>
      <c r="HVW1" s="935"/>
      <c r="HVX1" s="935"/>
      <c r="HVY1" s="935"/>
      <c r="HVZ1" s="935"/>
      <c r="HWA1" s="935"/>
      <c r="HWB1" s="935"/>
      <c r="HWC1" s="935"/>
      <c r="HWD1" s="935"/>
      <c r="HWE1" s="935"/>
      <c r="HWF1" s="935"/>
      <c r="HWG1" s="935"/>
      <c r="HWH1" s="935"/>
      <c r="HWI1" s="935"/>
      <c r="HWJ1" s="935"/>
      <c r="HWK1" s="935"/>
      <c r="HWL1" s="935"/>
      <c r="HWM1" s="935"/>
      <c r="HWN1" s="935"/>
      <c r="HWO1" s="935"/>
      <c r="HWP1" s="935"/>
      <c r="HWQ1" s="935"/>
      <c r="HWR1" s="935"/>
      <c r="HWS1" s="935"/>
      <c r="HWT1" s="935"/>
      <c r="HWU1" s="935"/>
      <c r="HWV1" s="935"/>
      <c r="HWW1" s="935"/>
      <c r="HWX1" s="935"/>
      <c r="HWY1" s="935"/>
      <c r="HWZ1" s="935"/>
      <c r="HXA1" s="935"/>
      <c r="HXB1" s="935"/>
      <c r="HXC1" s="935"/>
      <c r="HXD1" s="935"/>
      <c r="HXE1" s="935"/>
      <c r="HXF1" s="935"/>
      <c r="HXG1" s="935"/>
      <c r="HXH1" s="935"/>
      <c r="HXI1" s="935"/>
      <c r="HXJ1" s="935"/>
      <c r="HXK1" s="935"/>
      <c r="HXL1" s="935"/>
      <c r="HXM1" s="935"/>
      <c r="HXN1" s="935"/>
      <c r="HXO1" s="935"/>
      <c r="HXP1" s="935"/>
      <c r="HXQ1" s="935"/>
      <c r="HXR1" s="935"/>
      <c r="HXS1" s="935"/>
      <c r="HXT1" s="935"/>
      <c r="HXU1" s="935"/>
      <c r="HXV1" s="935"/>
      <c r="HXW1" s="935"/>
      <c r="HXX1" s="935"/>
      <c r="HXY1" s="935"/>
      <c r="HXZ1" s="935"/>
      <c r="HYA1" s="935"/>
      <c r="HYB1" s="935"/>
      <c r="HYC1" s="935"/>
      <c r="HYD1" s="935"/>
      <c r="HYE1" s="935"/>
      <c r="HYF1" s="935"/>
      <c r="HYG1" s="935"/>
      <c r="HYH1" s="935"/>
      <c r="HYI1" s="935"/>
      <c r="HYJ1" s="935"/>
      <c r="HYK1" s="935"/>
      <c r="HYL1" s="935"/>
      <c r="HYM1" s="935"/>
      <c r="HYN1" s="935"/>
      <c r="HYO1" s="935"/>
      <c r="HYP1" s="935"/>
      <c r="HYQ1" s="935"/>
      <c r="HYR1" s="935"/>
      <c r="HYS1" s="935"/>
      <c r="HYT1" s="935"/>
      <c r="HYU1" s="935"/>
      <c r="HYV1" s="935"/>
      <c r="HYW1" s="935"/>
      <c r="HYX1" s="935"/>
      <c r="HYY1" s="935"/>
      <c r="HYZ1" s="935"/>
      <c r="HZA1" s="935"/>
      <c r="HZB1" s="935"/>
      <c r="HZC1" s="935"/>
      <c r="HZD1" s="935"/>
      <c r="HZE1" s="935"/>
      <c r="HZF1" s="935"/>
      <c r="HZG1" s="935"/>
      <c r="HZH1" s="935"/>
      <c r="HZI1" s="935"/>
      <c r="HZJ1" s="935"/>
      <c r="HZK1" s="935"/>
      <c r="HZL1" s="935"/>
      <c r="HZM1" s="935"/>
      <c r="HZN1" s="935"/>
      <c r="HZO1" s="935"/>
      <c r="HZP1" s="935"/>
      <c r="HZQ1" s="935"/>
      <c r="HZR1" s="935"/>
      <c r="HZS1" s="935"/>
      <c r="HZT1" s="935"/>
      <c r="HZU1" s="935"/>
      <c r="HZV1" s="935"/>
      <c r="HZW1" s="935"/>
      <c r="HZX1" s="935"/>
      <c r="HZY1" s="935"/>
      <c r="HZZ1" s="935"/>
      <c r="IAA1" s="935"/>
      <c r="IAB1" s="935"/>
      <c r="IAC1" s="935"/>
      <c r="IAD1" s="935"/>
      <c r="IAE1" s="935"/>
      <c r="IAF1" s="935"/>
      <c r="IAG1" s="935"/>
      <c r="IAH1" s="935"/>
      <c r="IAI1" s="935"/>
      <c r="IAJ1" s="935"/>
      <c r="IAK1" s="935"/>
      <c r="IAL1" s="935"/>
      <c r="IAM1" s="935"/>
      <c r="IAN1" s="935"/>
      <c r="IAO1" s="935"/>
      <c r="IAP1" s="935"/>
      <c r="IAQ1" s="935"/>
      <c r="IAR1" s="935"/>
      <c r="IAS1" s="935"/>
      <c r="IAT1" s="935"/>
      <c r="IAU1" s="935"/>
      <c r="IAV1" s="935"/>
      <c r="IAW1" s="935"/>
      <c r="IAX1" s="935"/>
      <c r="IAY1" s="935"/>
      <c r="IAZ1" s="935"/>
      <c r="IBA1" s="935"/>
      <c r="IBB1" s="935"/>
      <c r="IBC1" s="935"/>
      <c r="IBD1" s="935"/>
      <c r="IBE1" s="935"/>
      <c r="IBF1" s="935"/>
      <c r="IBG1" s="935"/>
      <c r="IBH1" s="935"/>
      <c r="IBI1" s="935"/>
      <c r="IBJ1" s="935"/>
      <c r="IBK1" s="935"/>
      <c r="IBL1" s="935"/>
      <c r="IBM1" s="935"/>
      <c r="IBN1" s="935"/>
      <c r="IBO1" s="935"/>
      <c r="IBP1" s="935"/>
      <c r="IBQ1" s="935"/>
      <c r="IBR1" s="935"/>
      <c r="IBS1" s="935"/>
      <c r="IBT1" s="935"/>
      <c r="IBU1" s="935"/>
      <c r="IBV1" s="935"/>
      <c r="IBW1" s="935"/>
      <c r="IBX1" s="935"/>
      <c r="IBY1" s="935"/>
      <c r="IBZ1" s="935"/>
      <c r="ICA1" s="935"/>
      <c r="ICB1" s="935"/>
      <c r="ICC1" s="935"/>
      <c r="ICD1" s="935"/>
      <c r="ICE1" s="935"/>
      <c r="ICF1" s="935"/>
      <c r="ICG1" s="935"/>
      <c r="ICH1" s="935"/>
      <c r="ICI1" s="935"/>
      <c r="ICJ1" s="935"/>
      <c r="ICK1" s="935"/>
      <c r="ICL1" s="935"/>
      <c r="ICM1" s="935"/>
      <c r="ICN1" s="935"/>
      <c r="ICO1" s="935"/>
      <c r="ICP1" s="935"/>
      <c r="ICQ1" s="935"/>
      <c r="ICR1" s="935"/>
      <c r="ICS1" s="935"/>
      <c r="ICT1" s="935"/>
      <c r="ICU1" s="935"/>
      <c r="ICV1" s="935"/>
      <c r="ICW1" s="935"/>
      <c r="ICX1" s="935"/>
      <c r="ICY1" s="935"/>
      <c r="ICZ1" s="935"/>
      <c r="IDA1" s="935"/>
      <c r="IDB1" s="935"/>
      <c r="IDC1" s="935"/>
      <c r="IDD1" s="935"/>
      <c r="IDE1" s="935"/>
      <c r="IDF1" s="935"/>
      <c r="IDG1" s="935"/>
      <c r="IDH1" s="935"/>
      <c r="IDI1" s="935"/>
      <c r="IDJ1" s="935"/>
      <c r="IDK1" s="935"/>
      <c r="IDL1" s="935"/>
      <c r="IDM1" s="935"/>
      <c r="IDN1" s="935"/>
      <c r="IDO1" s="935"/>
      <c r="IDP1" s="935"/>
      <c r="IDQ1" s="935"/>
      <c r="IDR1" s="935"/>
      <c r="IDS1" s="935"/>
      <c r="IDT1" s="935"/>
      <c r="IDU1" s="935"/>
      <c r="IDV1" s="935"/>
      <c r="IDW1" s="935"/>
      <c r="IDX1" s="935"/>
      <c r="IDY1" s="935"/>
      <c r="IDZ1" s="935"/>
      <c r="IEA1" s="935"/>
      <c r="IEB1" s="935"/>
      <c r="IEC1" s="935"/>
      <c r="IED1" s="935"/>
      <c r="IEE1" s="935"/>
      <c r="IEF1" s="935"/>
      <c r="IEG1" s="935"/>
      <c r="IEH1" s="935"/>
      <c r="IEI1" s="935"/>
      <c r="IEJ1" s="935"/>
      <c r="IEK1" s="935"/>
      <c r="IEL1" s="935"/>
      <c r="IEM1" s="935"/>
      <c r="IEN1" s="935"/>
      <c r="IEO1" s="935"/>
      <c r="IEP1" s="935"/>
      <c r="IEQ1" s="935"/>
      <c r="IER1" s="935"/>
      <c r="IES1" s="935"/>
      <c r="IET1" s="935"/>
      <c r="IEU1" s="935"/>
      <c r="IEV1" s="935"/>
      <c r="IEW1" s="935"/>
      <c r="IEX1" s="935"/>
      <c r="IEY1" s="935"/>
      <c r="IEZ1" s="935"/>
      <c r="IFA1" s="935"/>
      <c r="IFB1" s="935"/>
      <c r="IFC1" s="935"/>
      <c r="IFD1" s="935"/>
      <c r="IFE1" s="935"/>
      <c r="IFF1" s="935"/>
      <c r="IFG1" s="935"/>
      <c r="IFH1" s="935"/>
      <c r="IFI1" s="935"/>
      <c r="IFJ1" s="935"/>
      <c r="IFK1" s="935"/>
      <c r="IFL1" s="935"/>
      <c r="IFM1" s="935"/>
      <c r="IFN1" s="935"/>
      <c r="IFO1" s="935"/>
      <c r="IFP1" s="935"/>
      <c r="IFQ1" s="935"/>
      <c r="IFR1" s="935"/>
      <c r="IFS1" s="935"/>
      <c r="IFT1" s="935"/>
      <c r="IFU1" s="935"/>
      <c r="IFV1" s="935"/>
      <c r="IFW1" s="935"/>
      <c r="IFX1" s="935"/>
      <c r="IFY1" s="935"/>
      <c r="IFZ1" s="935"/>
      <c r="IGA1" s="935"/>
      <c r="IGB1" s="935"/>
      <c r="IGC1" s="935"/>
      <c r="IGD1" s="935"/>
      <c r="IGE1" s="935"/>
      <c r="IGF1" s="935"/>
      <c r="IGG1" s="935"/>
      <c r="IGH1" s="935"/>
      <c r="IGI1" s="935"/>
      <c r="IGJ1" s="935"/>
      <c r="IGK1" s="935"/>
      <c r="IGL1" s="935"/>
      <c r="IGM1" s="935"/>
      <c r="IGN1" s="935"/>
      <c r="IGO1" s="935"/>
      <c r="IGP1" s="935"/>
      <c r="IGQ1" s="935"/>
      <c r="IGR1" s="935"/>
      <c r="IGS1" s="935"/>
      <c r="IGT1" s="935"/>
      <c r="IGU1" s="935"/>
      <c r="IGV1" s="935"/>
      <c r="IGW1" s="935"/>
      <c r="IGX1" s="935"/>
      <c r="IGY1" s="935"/>
      <c r="IGZ1" s="935"/>
      <c r="IHA1" s="935"/>
      <c r="IHB1" s="935"/>
      <c r="IHC1" s="935"/>
      <c r="IHD1" s="935"/>
      <c r="IHE1" s="935"/>
      <c r="IHF1" s="935"/>
      <c r="IHG1" s="935"/>
      <c r="IHH1" s="935"/>
      <c r="IHI1" s="935"/>
      <c r="IHJ1" s="935"/>
      <c r="IHK1" s="935"/>
      <c r="IHL1" s="935"/>
      <c r="IHM1" s="935"/>
      <c r="IHN1" s="935"/>
      <c r="IHO1" s="935"/>
      <c r="IHP1" s="935"/>
      <c r="IHQ1" s="935"/>
      <c r="IHR1" s="935"/>
      <c r="IHS1" s="935"/>
      <c r="IHT1" s="935"/>
      <c r="IHU1" s="935"/>
      <c r="IHV1" s="935"/>
      <c r="IHW1" s="935"/>
      <c r="IHX1" s="935"/>
      <c r="IHY1" s="935"/>
      <c r="IHZ1" s="935"/>
      <c r="IIA1" s="935"/>
      <c r="IIB1" s="935"/>
      <c r="IIC1" s="935"/>
      <c r="IID1" s="935"/>
      <c r="IIE1" s="935"/>
      <c r="IIF1" s="935"/>
      <c r="IIG1" s="935"/>
      <c r="IIH1" s="935"/>
      <c r="III1" s="935"/>
      <c r="IIJ1" s="935"/>
      <c r="IIK1" s="935"/>
      <c r="IIL1" s="935"/>
      <c r="IIM1" s="935"/>
      <c r="IIN1" s="935"/>
      <c r="IIO1" s="935"/>
      <c r="IIP1" s="935"/>
      <c r="IIQ1" s="935"/>
      <c r="IIR1" s="935"/>
      <c r="IIS1" s="935"/>
      <c r="IIT1" s="935"/>
      <c r="IIU1" s="935"/>
      <c r="IIV1" s="935"/>
      <c r="IIW1" s="935"/>
      <c r="IIX1" s="935"/>
      <c r="IIY1" s="935"/>
      <c r="IIZ1" s="935"/>
      <c r="IJA1" s="935"/>
      <c r="IJB1" s="935"/>
      <c r="IJC1" s="935"/>
      <c r="IJD1" s="935"/>
      <c r="IJE1" s="935"/>
      <c r="IJF1" s="935"/>
      <c r="IJG1" s="935"/>
      <c r="IJH1" s="935"/>
      <c r="IJI1" s="935"/>
      <c r="IJJ1" s="935"/>
      <c r="IJK1" s="935"/>
      <c r="IJL1" s="935"/>
      <c r="IJM1" s="935"/>
      <c r="IJN1" s="935"/>
      <c r="IJO1" s="935"/>
      <c r="IJP1" s="935"/>
      <c r="IJQ1" s="935"/>
      <c r="IJR1" s="935"/>
      <c r="IJS1" s="935"/>
      <c r="IJT1" s="935"/>
      <c r="IJU1" s="935"/>
      <c r="IJV1" s="935"/>
      <c r="IJW1" s="935"/>
      <c r="IJX1" s="935"/>
      <c r="IJY1" s="935"/>
      <c r="IJZ1" s="935"/>
      <c r="IKA1" s="935"/>
      <c r="IKB1" s="935"/>
      <c r="IKC1" s="935"/>
      <c r="IKD1" s="935"/>
      <c r="IKE1" s="935"/>
      <c r="IKF1" s="935"/>
      <c r="IKG1" s="935"/>
      <c r="IKH1" s="935"/>
      <c r="IKI1" s="935"/>
      <c r="IKJ1" s="935"/>
      <c r="IKK1" s="935"/>
      <c r="IKL1" s="935"/>
      <c r="IKM1" s="935"/>
      <c r="IKN1" s="935"/>
      <c r="IKO1" s="935"/>
      <c r="IKP1" s="935"/>
      <c r="IKQ1" s="935"/>
      <c r="IKR1" s="935"/>
      <c r="IKS1" s="935"/>
      <c r="IKT1" s="935"/>
      <c r="IKU1" s="935"/>
      <c r="IKV1" s="935"/>
      <c r="IKW1" s="935"/>
      <c r="IKX1" s="935"/>
      <c r="IKY1" s="935"/>
      <c r="IKZ1" s="935"/>
      <c r="ILA1" s="935"/>
      <c r="ILB1" s="935"/>
      <c r="ILC1" s="935"/>
      <c r="ILD1" s="935"/>
      <c r="ILE1" s="935"/>
      <c r="ILF1" s="935"/>
      <c r="ILG1" s="935"/>
      <c r="ILH1" s="935"/>
      <c r="ILI1" s="935"/>
      <c r="ILJ1" s="935"/>
      <c r="ILK1" s="935"/>
      <c r="ILL1" s="935"/>
      <c r="ILM1" s="935"/>
      <c r="ILN1" s="935"/>
      <c r="ILO1" s="935"/>
      <c r="ILP1" s="935"/>
      <c r="ILQ1" s="935"/>
      <c r="ILR1" s="935"/>
      <c r="ILS1" s="935"/>
      <c r="ILT1" s="935"/>
      <c r="ILU1" s="935"/>
      <c r="ILV1" s="935"/>
      <c r="ILW1" s="935"/>
      <c r="ILX1" s="935"/>
      <c r="ILY1" s="935"/>
      <c r="ILZ1" s="935"/>
      <c r="IMA1" s="935"/>
      <c r="IMB1" s="935"/>
      <c r="IMC1" s="935"/>
      <c r="IMD1" s="935"/>
      <c r="IME1" s="935"/>
      <c r="IMF1" s="935"/>
      <c r="IMG1" s="935"/>
      <c r="IMH1" s="935"/>
      <c r="IMI1" s="935"/>
      <c r="IMJ1" s="935"/>
      <c r="IMK1" s="935"/>
      <c r="IML1" s="935"/>
      <c r="IMM1" s="935"/>
      <c r="IMN1" s="935"/>
      <c r="IMO1" s="935"/>
      <c r="IMP1" s="935"/>
      <c r="IMQ1" s="935"/>
      <c r="IMR1" s="935"/>
      <c r="IMS1" s="935"/>
      <c r="IMT1" s="935"/>
      <c r="IMU1" s="935"/>
      <c r="IMV1" s="935"/>
      <c r="IMW1" s="935"/>
      <c r="IMX1" s="935"/>
      <c r="IMY1" s="935"/>
      <c r="IMZ1" s="935"/>
      <c r="INA1" s="935"/>
      <c r="INB1" s="935"/>
      <c r="INC1" s="935"/>
      <c r="IND1" s="935"/>
      <c r="INE1" s="935"/>
      <c r="INF1" s="935"/>
      <c r="ING1" s="935"/>
      <c r="INH1" s="935"/>
      <c r="INI1" s="935"/>
      <c r="INJ1" s="935"/>
      <c r="INK1" s="935"/>
      <c r="INL1" s="935"/>
      <c r="INM1" s="935"/>
      <c r="INN1" s="935"/>
      <c r="INO1" s="935"/>
      <c r="INP1" s="935"/>
      <c r="INQ1" s="935"/>
      <c r="INR1" s="935"/>
      <c r="INS1" s="935"/>
      <c r="INT1" s="935"/>
      <c r="INU1" s="935"/>
      <c r="INV1" s="935"/>
      <c r="INW1" s="935"/>
      <c r="INX1" s="935"/>
      <c r="INY1" s="935"/>
      <c r="INZ1" s="935"/>
      <c r="IOA1" s="935"/>
      <c r="IOB1" s="935"/>
      <c r="IOC1" s="935"/>
      <c r="IOD1" s="935"/>
      <c r="IOE1" s="935"/>
      <c r="IOF1" s="935"/>
      <c r="IOG1" s="935"/>
      <c r="IOH1" s="935"/>
      <c r="IOI1" s="935"/>
      <c r="IOJ1" s="935"/>
      <c r="IOK1" s="935"/>
      <c r="IOL1" s="935"/>
      <c r="IOM1" s="935"/>
      <c r="ION1" s="935"/>
      <c r="IOO1" s="935"/>
      <c r="IOP1" s="935"/>
      <c r="IOQ1" s="935"/>
      <c r="IOR1" s="935"/>
      <c r="IOS1" s="935"/>
      <c r="IOT1" s="935"/>
      <c r="IOU1" s="935"/>
      <c r="IOV1" s="935"/>
      <c r="IOW1" s="935"/>
      <c r="IOX1" s="935"/>
      <c r="IOY1" s="935"/>
      <c r="IOZ1" s="935"/>
      <c r="IPA1" s="935"/>
      <c r="IPB1" s="935"/>
      <c r="IPC1" s="935"/>
      <c r="IPD1" s="935"/>
      <c r="IPE1" s="935"/>
      <c r="IPF1" s="935"/>
      <c r="IPG1" s="935"/>
      <c r="IPH1" s="935"/>
      <c r="IPI1" s="935"/>
      <c r="IPJ1" s="935"/>
      <c r="IPK1" s="935"/>
      <c r="IPL1" s="935"/>
      <c r="IPM1" s="935"/>
      <c r="IPN1" s="935"/>
      <c r="IPO1" s="935"/>
      <c r="IPP1" s="935"/>
      <c r="IPQ1" s="935"/>
      <c r="IPR1" s="935"/>
      <c r="IPS1" s="935"/>
      <c r="IPT1" s="935"/>
      <c r="IPU1" s="935"/>
      <c r="IPV1" s="935"/>
      <c r="IPW1" s="935"/>
      <c r="IPX1" s="935"/>
      <c r="IPY1" s="935"/>
      <c r="IPZ1" s="935"/>
      <c r="IQA1" s="935"/>
      <c r="IQB1" s="935"/>
      <c r="IQC1" s="935"/>
      <c r="IQD1" s="935"/>
      <c r="IQE1" s="935"/>
      <c r="IQF1" s="935"/>
      <c r="IQG1" s="935"/>
      <c r="IQH1" s="935"/>
      <c r="IQI1" s="935"/>
      <c r="IQJ1" s="935"/>
      <c r="IQK1" s="935"/>
      <c r="IQL1" s="935"/>
      <c r="IQM1" s="935"/>
      <c r="IQN1" s="935"/>
      <c r="IQO1" s="935"/>
      <c r="IQP1" s="935"/>
      <c r="IQQ1" s="935"/>
      <c r="IQR1" s="935"/>
      <c r="IQS1" s="935"/>
      <c r="IQT1" s="935"/>
      <c r="IQU1" s="935"/>
      <c r="IQV1" s="935"/>
      <c r="IQW1" s="935"/>
      <c r="IQX1" s="935"/>
      <c r="IQY1" s="935"/>
      <c r="IQZ1" s="935"/>
      <c r="IRA1" s="935"/>
      <c r="IRB1" s="935"/>
      <c r="IRC1" s="935"/>
      <c r="IRD1" s="935"/>
      <c r="IRE1" s="935"/>
      <c r="IRF1" s="935"/>
      <c r="IRG1" s="935"/>
      <c r="IRH1" s="935"/>
      <c r="IRI1" s="935"/>
      <c r="IRJ1" s="935"/>
      <c r="IRK1" s="935"/>
      <c r="IRL1" s="935"/>
      <c r="IRM1" s="935"/>
      <c r="IRN1" s="935"/>
      <c r="IRO1" s="935"/>
      <c r="IRP1" s="935"/>
      <c r="IRQ1" s="935"/>
      <c r="IRR1" s="935"/>
      <c r="IRS1" s="935"/>
      <c r="IRT1" s="935"/>
      <c r="IRU1" s="935"/>
      <c r="IRV1" s="935"/>
      <c r="IRW1" s="935"/>
      <c r="IRX1" s="935"/>
      <c r="IRY1" s="935"/>
      <c r="IRZ1" s="935"/>
      <c r="ISA1" s="935"/>
      <c r="ISB1" s="935"/>
      <c r="ISC1" s="935"/>
      <c r="ISD1" s="935"/>
      <c r="ISE1" s="935"/>
      <c r="ISF1" s="935"/>
      <c r="ISG1" s="935"/>
      <c r="ISH1" s="935"/>
      <c r="ISI1" s="935"/>
      <c r="ISJ1" s="935"/>
      <c r="ISK1" s="935"/>
      <c r="ISL1" s="935"/>
      <c r="ISM1" s="935"/>
      <c r="ISN1" s="935"/>
      <c r="ISO1" s="935"/>
      <c r="ISP1" s="935"/>
      <c r="ISQ1" s="935"/>
      <c r="ISR1" s="935"/>
      <c r="ISS1" s="935"/>
      <c r="IST1" s="935"/>
      <c r="ISU1" s="935"/>
      <c r="ISV1" s="935"/>
      <c r="ISW1" s="935"/>
      <c r="ISX1" s="935"/>
      <c r="ISY1" s="935"/>
      <c r="ISZ1" s="935"/>
      <c r="ITA1" s="935"/>
      <c r="ITB1" s="935"/>
      <c r="ITC1" s="935"/>
      <c r="ITD1" s="935"/>
      <c r="ITE1" s="935"/>
      <c r="ITF1" s="935"/>
      <c r="ITG1" s="935"/>
      <c r="ITH1" s="935"/>
      <c r="ITI1" s="935"/>
      <c r="ITJ1" s="935"/>
      <c r="ITK1" s="935"/>
      <c r="ITL1" s="935"/>
      <c r="ITM1" s="935"/>
      <c r="ITN1" s="935"/>
      <c r="ITO1" s="935"/>
      <c r="ITP1" s="935"/>
      <c r="ITQ1" s="935"/>
      <c r="ITR1" s="935"/>
      <c r="ITS1" s="935"/>
      <c r="ITT1" s="935"/>
      <c r="ITU1" s="935"/>
      <c r="ITV1" s="935"/>
      <c r="ITW1" s="935"/>
      <c r="ITX1" s="935"/>
      <c r="ITY1" s="935"/>
      <c r="ITZ1" s="935"/>
      <c r="IUA1" s="935"/>
      <c r="IUB1" s="935"/>
      <c r="IUC1" s="935"/>
      <c r="IUD1" s="935"/>
      <c r="IUE1" s="935"/>
      <c r="IUF1" s="935"/>
      <c r="IUG1" s="935"/>
      <c r="IUH1" s="935"/>
      <c r="IUI1" s="935"/>
      <c r="IUJ1" s="935"/>
      <c r="IUK1" s="935"/>
      <c r="IUL1" s="935"/>
      <c r="IUM1" s="935"/>
      <c r="IUN1" s="935"/>
      <c r="IUO1" s="935"/>
      <c r="IUP1" s="935"/>
      <c r="IUQ1" s="935"/>
      <c r="IUR1" s="935"/>
      <c r="IUS1" s="935"/>
      <c r="IUT1" s="935"/>
      <c r="IUU1" s="935"/>
      <c r="IUV1" s="935"/>
      <c r="IUW1" s="935"/>
      <c r="IUX1" s="935"/>
      <c r="IUY1" s="935"/>
      <c r="IUZ1" s="935"/>
      <c r="IVA1" s="935"/>
      <c r="IVB1" s="935"/>
      <c r="IVC1" s="935"/>
      <c r="IVD1" s="935"/>
      <c r="IVE1" s="935"/>
      <c r="IVF1" s="935"/>
      <c r="IVG1" s="935"/>
      <c r="IVH1" s="935"/>
      <c r="IVI1" s="935"/>
      <c r="IVJ1" s="935"/>
      <c r="IVK1" s="935"/>
      <c r="IVL1" s="935"/>
      <c r="IVM1" s="935"/>
      <c r="IVN1" s="935"/>
      <c r="IVO1" s="935"/>
      <c r="IVP1" s="935"/>
      <c r="IVQ1" s="935"/>
      <c r="IVR1" s="935"/>
      <c r="IVS1" s="935"/>
      <c r="IVT1" s="935"/>
      <c r="IVU1" s="935"/>
      <c r="IVV1" s="935"/>
      <c r="IVW1" s="935"/>
      <c r="IVX1" s="935"/>
      <c r="IVY1" s="935"/>
      <c r="IVZ1" s="935"/>
      <c r="IWA1" s="935"/>
      <c r="IWB1" s="935"/>
      <c r="IWC1" s="935"/>
      <c r="IWD1" s="935"/>
      <c r="IWE1" s="935"/>
      <c r="IWF1" s="935"/>
      <c r="IWG1" s="935"/>
      <c r="IWH1" s="935"/>
      <c r="IWI1" s="935"/>
      <c r="IWJ1" s="935"/>
      <c r="IWK1" s="935"/>
      <c r="IWL1" s="935"/>
      <c r="IWM1" s="935"/>
      <c r="IWN1" s="935"/>
      <c r="IWO1" s="935"/>
      <c r="IWP1" s="935"/>
      <c r="IWQ1" s="935"/>
      <c r="IWR1" s="935"/>
      <c r="IWS1" s="935"/>
      <c r="IWT1" s="935"/>
      <c r="IWU1" s="935"/>
      <c r="IWV1" s="935"/>
      <c r="IWW1" s="935"/>
      <c r="IWX1" s="935"/>
      <c r="IWY1" s="935"/>
      <c r="IWZ1" s="935"/>
      <c r="IXA1" s="935"/>
      <c r="IXB1" s="935"/>
      <c r="IXC1" s="935"/>
      <c r="IXD1" s="935"/>
      <c r="IXE1" s="935"/>
      <c r="IXF1" s="935"/>
      <c r="IXG1" s="935"/>
      <c r="IXH1" s="935"/>
      <c r="IXI1" s="935"/>
      <c r="IXJ1" s="935"/>
      <c r="IXK1" s="935"/>
      <c r="IXL1" s="935"/>
      <c r="IXM1" s="935"/>
      <c r="IXN1" s="935"/>
      <c r="IXO1" s="935"/>
      <c r="IXP1" s="935"/>
      <c r="IXQ1" s="935"/>
      <c r="IXR1" s="935"/>
      <c r="IXS1" s="935"/>
      <c r="IXT1" s="935"/>
      <c r="IXU1" s="935"/>
      <c r="IXV1" s="935"/>
      <c r="IXW1" s="935"/>
      <c r="IXX1" s="935"/>
      <c r="IXY1" s="935"/>
      <c r="IXZ1" s="935"/>
      <c r="IYA1" s="935"/>
      <c r="IYB1" s="935"/>
      <c r="IYC1" s="935"/>
      <c r="IYD1" s="935"/>
      <c r="IYE1" s="935"/>
      <c r="IYF1" s="935"/>
      <c r="IYG1" s="935"/>
      <c r="IYH1" s="935"/>
      <c r="IYI1" s="935"/>
      <c r="IYJ1" s="935"/>
      <c r="IYK1" s="935"/>
      <c r="IYL1" s="935"/>
      <c r="IYM1" s="935"/>
      <c r="IYN1" s="935"/>
      <c r="IYO1" s="935"/>
      <c r="IYP1" s="935"/>
      <c r="IYQ1" s="935"/>
      <c r="IYR1" s="935"/>
      <c r="IYS1" s="935"/>
      <c r="IYT1" s="935"/>
      <c r="IYU1" s="935"/>
      <c r="IYV1" s="935"/>
      <c r="IYW1" s="935"/>
      <c r="IYX1" s="935"/>
      <c r="IYY1" s="935"/>
      <c r="IYZ1" s="935"/>
      <c r="IZA1" s="935"/>
      <c r="IZB1" s="935"/>
      <c r="IZC1" s="935"/>
      <c r="IZD1" s="935"/>
      <c r="IZE1" s="935"/>
      <c r="IZF1" s="935"/>
      <c r="IZG1" s="935"/>
      <c r="IZH1" s="935"/>
      <c r="IZI1" s="935"/>
      <c r="IZJ1" s="935"/>
      <c r="IZK1" s="935"/>
      <c r="IZL1" s="935"/>
      <c r="IZM1" s="935"/>
      <c r="IZN1" s="935"/>
      <c r="IZO1" s="935"/>
      <c r="IZP1" s="935"/>
      <c r="IZQ1" s="935"/>
      <c r="IZR1" s="935"/>
      <c r="IZS1" s="935"/>
      <c r="IZT1" s="935"/>
      <c r="IZU1" s="935"/>
      <c r="IZV1" s="935"/>
      <c r="IZW1" s="935"/>
      <c r="IZX1" s="935"/>
      <c r="IZY1" s="935"/>
      <c r="IZZ1" s="935"/>
      <c r="JAA1" s="935"/>
      <c r="JAB1" s="935"/>
      <c r="JAC1" s="935"/>
      <c r="JAD1" s="935"/>
      <c r="JAE1" s="935"/>
      <c r="JAF1" s="935"/>
      <c r="JAG1" s="935"/>
      <c r="JAH1" s="935"/>
      <c r="JAI1" s="935"/>
      <c r="JAJ1" s="935"/>
      <c r="JAK1" s="935"/>
      <c r="JAL1" s="935"/>
      <c r="JAM1" s="935"/>
      <c r="JAN1" s="935"/>
      <c r="JAO1" s="935"/>
      <c r="JAP1" s="935"/>
      <c r="JAQ1" s="935"/>
      <c r="JAR1" s="935"/>
      <c r="JAS1" s="935"/>
      <c r="JAT1" s="935"/>
      <c r="JAU1" s="935"/>
      <c r="JAV1" s="935"/>
      <c r="JAW1" s="935"/>
      <c r="JAX1" s="935"/>
      <c r="JAY1" s="935"/>
      <c r="JAZ1" s="935"/>
      <c r="JBA1" s="935"/>
      <c r="JBB1" s="935"/>
      <c r="JBC1" s="935"/>
      <c r="JBD1" s="935"/>
      <c r="JBE1" s="935"/>
      <c r="JBF1" s="935"/>
      <c r="JBG1" s="935"/>
      <c r="JBH1" s="935"/>
      <c r="JBI1" s="935"/>
      <c r="JBJ1" s="935"/>
      <c r="JBK1" s="935"/>
      <c r="JBL1" s="935"/>
      <c r="JBM1" s="935"/>
      <c r="JBN1" s="935"/>
      <c r="JBO1" s="935"/>
      <c r="JBP1" s="935"/>
      <c r="JBQ1" s="935"/>
      <c r="JBR1" s="935"/>
      <c r="JBS1" s="935"/>
      <c r="JBT1" s="935"/>
      <c r="JBU1" s="935"/>
      <c r="JBV1" s="935"/>
      <c r="JBW1" s="935"/>
      <c r="JBX1" s="935"/>
      <c r="JBY1" s="935"/>
      <c r="JBZ1" s="935"/>
      <c r="JCA1" s="935"/>
      <c r="JCB1" s="935"/>
      <c r="JCC1" s="935"/>
      <c r="JCD1" s="935"/>
      <c r="JCE1" s="935"/>
      <c r="JCF1" s="935"/>
      <c r="JCG1" s="935"/>
      <c r="JCH1" s="935"/>
      <c r="JCI1" s="935"/>
      <c r="JCJ1" s="935"/>
      <c r="JCK1" s="935"/>
      <c r="JCL1" s="935"/>
      <c r="JCM1" s="935"/>
      <c r="JCN1" s="935"/>
      <c r="JCO1" s="935"/>
      <c r="JCP1" s="935"/>
      <c r="JCQ1" s="935"/>
      <c r="JCR1" s="935"/>
      <c r="JCS1" s="935"/>
      <c r="JCT1" s="935"/>
      <c r="JCU1" s="935"/>
      <c r="JCV1" s="935"/>
      <c r="JCW1" s="935"/>
      <c r="JCX1" s="935"/>
      <c r="JCY1" s="935"/>
      <c r="JCZ1" s="935"/>
      <c r="JDA1" s="935"/>
      <c r="JDB1" s="935"/>
      <c r="JDC1" s="935"/>
      <c r="JDD1" s="935"/>
      <c r="JDE1" s="935"/>
      <c r="JDF1" s="935"/>
      <c r="JDG1" s="935"/>
      <c r="JDH1" s="935"/>
      <c r="JDI1" s="935"/>
      <c r="JDJ1" s="935"/>
      <c r="JDK1" s="935"/>
      <c r="JDL1" s="935"/>
      <c r="JDM1" s="935"/>
      <c r="JDN1" s="935"/>
      <c r="JDO1" s="935"/>
      <c r="JDP1" s="935"/>
      <c r="JDQ1" s="935"/>
      <c r="JDR1" s="935"/>
      <c r="JDS1" s="935"/>
      <c r="JDT1" s="935"/>
      <c r="JDU1" s="935"/>
      <c r="JDV1" s="935"/>
      <c r="JDW1" s="935"/>
      <c r="JDX1" s="935"/>
      <c r="JDY1" s="935"/>
      <c r="JDZ1" s="935"/>
      <c r="JEA1" s="935"/>
      <c r="JEB1" s="935"/>
      <c r="JEC1" s="935"/>
      <c r="JED1" s="935"/>
      <c r="JEE1" s="935"/>
      <c r="JEF1" s="935"/>
      <c r="JEG1" s="935"/>
      <c r="JEH1" s="935"/>
      <c r="JEI1" s="935"/>
      <c r="JEJ1" s="935"/>
      <c r="JEK1" s="935"/>
      <c r="JEL1" s="935"/>
      <c r="JEM1" s="935"/>
      <c r="JEN1" s="935"/>
      <c r="JEO1" s="935"/>
      <c r="JEP1" s="935"/>
      <c r="JEQ1" s="935"/>
      <c r="JER1" s="935"/>
      <c r="JES1" s="935"/>
      <c r="JET1" s="935"/>
      <c r="JEU1" s="935"/>
      <c r="JEV1" s="935"/>
      <c r="JEW1" s="935"/>
      <c r="JEX1" s="935"/>
      <c r="JEY1" s="935"/>
      <c r="JEZ1" s="935"/>
      <c r="JFA1" s="935"/>
      <c r="JFB1" s="935"/>
      <c r="JFC1" s="935"/>
      <c r="JFD1" s="935"/>
      <c r="JFE1" s="935"/>
      <c r="JFF1" s="935"/>
      <c r="JFG1" s="935"/>
      <c r="JFH1" s="935"/>
      <c r="JFI1" s="935"/>
      <c r="JFJ1" s="935"/>
      <c r="JFK1" s="935"/>
      <c r="JFL1" s="935"/>
      <c r="JFM1" s="935"/>
      <c r="JFN1" s="935"/>
      <c r="JFO1" s="935"/>
      <c r="JFP1" s="935"/>
      <c r="JFQ1" s="935"/>
      <c r="JFR1" s="935"/>
      <c r="JFS1" s="935"/>
      <c r="JFT1" s="935"/>
      <c r="JFU1" s="935"/>
      <c r="JFV1" s="935"/>
      <c r="JFW1" s="935"/>
      <c r="JFX1" s="935"/>
      <c r="JFY1" s="935"/>
      <c r="JFZ1" s="935"/>
      <c r="JGA1" s="935"/>
      <c r="JGB1" s="935"/>
      <c r="JGC1" s="935"/>
      <c r="JGD1" s="935"/>
      <c r="JGE1" s="935"/>
      <c r="JGF1" s="935"/>
      <c r="JGG1" s="935"/>
      <c r="JGH1" s="935"/>
      <c r="JGI1" s="935"/>
      <c r="JGJ1" s="935"/>
      <c r="JGK1" s="935"/>
      <c r="JGL1" s="935"/>
      <c r="JGM1" s="935"/>
      <c r="JGN1" s="935"/>
      <c r="JGO1" s="935"/>
      <c r="JGP1" s="935"/>
      <c r="JGQ1" s="935"/>
      <c r="JGR1" s="935"/>
      <c r="JGS1" s="935"/>
      <c r="JGT1" s="935"/>
      <c r="JGU1" s="935"/>
      <c r="JGV1" s="935"/>
      <c r="JGW1" s="935"/>
      <c r="JGX1" s="935"/>
      <c r="JGY1" s="935"/>
      <c r="JGZ1" s="935"/>
      <c r="JHA1" s="935"/>
      <c r="JHB1" s="935"/>
      <c r="JHC1" s="935"/>
      <c r="JHD1" s="935"/>
      <c r="JHE1" s="935"/>
      <c r="JHF1" s="935"/>
      <c r="JHG1" s="935"/>
      <c r="JHH1" s="935"/>
      <c r="JHI1" s="935"/>
      <c r="JHJ1" s="935"/>
      <c r="JHK1" s="935"/>
      <c r="JHL1" s="935"/>
      <c r="JHM1" s="935"/>
      <c r="JHN1" s="935"/>
      <c r="JHO1" s="935"/>
      <c r="JHP1" s="935"/>
      <c r="JHQ1" s="935"/>
      <c r="JHR1" s="935"/>
      <c r="JHS1" s="935"/>
      <c r="JHT1" s="935"/>
      <c r="JHU1" s="935"/>
      <c r="JHV1" s="935"/>
      <c r="JHW1" s="935"/>
      <c r="JHX1" s="935"/>
      <c r="JHY1" s="935"/>
      <c r="JHZ1" s="935"/>
      <c r="JIA1" s="935"/>
      <c r="JIB1" s="935"/>
      <c r="JIC1" s="935"/>
      <c r="JID1" s="935"/>
      <c r="JIE1" s="935"/>
      <c r="JIF1" s="935"/>
      <c r="JIG1" s="935"/>
      <c r="JIH1" s="935"/>
      <c r="JII1" s="935"/>
      <c r="JIJ1" s="935"/>
      <c r="JIK1" s="935"/>
      <c r="JIL1" s="935"/>
      <c r="JIM1" s="935"/>
      <c r="JIN1" s="935"/>
      <c r="JIO1" s="935"/>
      <c r="JIP1" s="935"/>
      <c r="JIQ1" s="935"/>
      <c r="JIR1" s="935"/>
      <c r="JIS1" s="935"/>
      <c r="JIT1" s="935"/>
      <c r="JIU1" s="935"/>
      <c r="JIV1" s="935"/>
      <c r="JIW1" s="935"/>
      <c r="JIX1" s="935"/>
      <c r="JIY1" s="935"/>
      <c r="JIZ1" s="935"/>
      <c r="JJA1" s="935"/>
      <c r="JJB1" s="935"/>
      <c r="JJC1" s="935"/>
      <c r="JJD1" s="935"/>
      <c r="JJE1" s="935"/>
      <c r="JJF1" s="935"/>
      <c r="JJG1" s="935"/>
      <c r="JJH1" s="935"/>
      <c r="JJI1" s="935"/>
      <c r="JJJ1" s="935"/>
      <c r="JJK1" s="935"/>
      <c r="JJL1" s="935"/>
      <c r="JJM1" s="935"/>
      <c r="JJN1" s="935"/>
      <c r="JJO1" s="935"/>
      <c r="JJP1" s="935"/>
      <c r="JJQ1" s="935"/>
      <c r="JJR1" s="935"/>
      <c r="JJS1" s="935"/>
      <c r="JJT1" s="935"/>
      <c r="JJU1" s="935"/>
      <c r="JJV1" s="935"/>
      <c r="JJW1" s="935"/>
      <c r="JJX1" s="935"/>
      <c r="JJY1" s="935"/>
      <c r="JJZ1" s="935"/>
      <c r="JKA1" s="935"/>
      <c r="JKB1" s="935"/>
      <c r="JKC1" s="935"/>
      <c r="JKD1" s="935"/>
      <c r="JKE1" s="935"/>
      <c r="JKF1" s="935"/>
      <c r="JKG1" s="935"/>
      <c r="JKH1" s="935"/>
      <c r="JKI1" s="935"/>
      <c r="JKJ1" s="935"/>
      <c r="JKK1" s="935"/>
      <c r="JKL1" s="935"/>
      <c r="JKM1" s="935"/>
      <c r="JKN1" s="935"/>
      <c r="JKO1" s="935"/>
      <c r="JKP1" s="935"/>
      <c r="JKQ1" s="935"/>
      <c r="JKR1" s="935"/>
      <c r="JKS1" s="935"/>
      <c r="JKT1" s="935"/>
      <c r="JKU1" s="935"/>
      <c r="JKV1" s="935"/>
      <c r="JKW1" s="935"/>
      <c r="JKX1" s="935"/>
      <c r="JKY1" s="935"/>
      <c r="JKZ1" s="935"/>
      <c r="JLA1" s="935"/>
      <c r="JLB1" s="935"/>
      <c r="JLC1" s="935"/>
      <c r="JLD1" s="935"/>
      <c r="JLE1" s="935"/>
      <c r="JLF1" s="935"/>
      <c r="JLG1" s="935"/>
      <c r="JLH1" s="935"/>
      <c r="JLI1" s="935"/>
      <c r="JLJ1" s="935"/>
      <c r="JLK1" s="935"/>
      <c r="JLL1" s="935"/>
      <c r="JLM1" s="935"/>
      <c r="JLN1" s="935"/>
      <c r="JLO1" s="935"/>
      <c r="JLP1" s="935"/>
      <c r="JLQ1" s="935"/>
      <c r="JLR1" s="935"/>
      <c r="JLS1" s="935"/>
      <c r="JLT1" s="935"/>
      <c r="JLU1" s="935"/>
      <c r="JLV1" s="935"/>
      <c r="JLW1" s="935"/>
      <c r="JLX1" s="935"/>
      <c r="JLY1" s="935"/>
      <c r="JLZ1" s="935"/>
      <c r="JMA1" s="935"/>
      <c r="JMB1" s="935"/>
      <c r="JMC1" s="935"/>
      <c r="JMD1" s="935"/>
      <c r="JME1" s="935"/>
      <c r="JMF1" s="935"/>
      <c r="JMG1" s="935"/>
      <c r="JMH1" s="935"/>
      <c r="JMI1" s="935"/>
      <c r="JMJ1" s="935"/>
      <c r="JMK1" s="935"/>
      <c r="JML1" s="935"/>
      <c r="JMM1" s="935"/>
      <c r="JMN1" s="935"/>
      <c r="JMO1" s="935"/>
      <c r="JMP1" s="935"/>
      <c r="JMQ1" s="935"/>
      <c r="JMR1" s="935"/>
      <c r="JMS1" s="935"/>
      <c r="JMT1" s="935"/>
      <c r="JMU1" s="935"/>
      <c r="JMV1" s="935"/>
      <c r="JMW1" s="935"/>
      <c r="JMX1" s="935"/>
      <c r="JMY1" s="935"/>
      <c r="JMZ1" s="935"/>
      <c r="JNA1" s="935"/>
      <c r="JNB1" s="935"/>
      <c r="JNC1" s="935"/>
      <c r="JND1" s="935"/>
      <c r="JNE1" s="935"/>
      <c r="JNF1" s="935"/>
      <c r="JNG1" s="935"/>
      <c r="JNH1" s="935"/>
      <c r="JNI1" s="935"/>
      <c r="JNJ1" s="935"/>
      <c r="JNK1" s="935"/>
      <c r="JNL1" s="935"/>
      <c r="JNM1" s="935"/>
      <c r="JNN1" s="935"/>
      <c r="JNO1" s="935"/>
      <c r="JNP1" s="935"/>
      <c r="JNQ1" s="935"/>
      <c r="JNR1" s="935"/>
      <c r="JNS1" s="935"/>
      <c r="JNT1" s="935"/>
      <c r="JNU1" s="935"/>
      <c r="JNV1" s="935"/>
      <c r="JNW1" s="935"/>
      <c r="JNX1" s="935"/>
      <c r="JNY1" s="935"/>
      <c r="JNZ1" s="935"/>
      <c r="JOA1" s="935"/>
      <c r="JOB1" s="935"/>
      <c r="JOC1" s="935"/>
      <c r="JOD1" s="935"/>
      <c r="JOE1" s="935"/>
      <c r="JOF1" s="935"/>
      <c r="JOG1" s="935"/>
      <c r="JOH1" s="935"/>
      <c r="JOI1" s="935"/>
      <c r="JOJ1" s="935"/>
      <c r="JOK1" s="935"/>
      <c r="JOL1" s="935"/>
      <c r="JOM1" s="935"/>
      <c r="JON1" s="935"/>
      <c r="JOO1" s="935"/>
      <c r="JOP1" s="935"/>
      <c r="JOQ1" s="935"/>
      <c r="JOR1" s="935"/>
      <c r="JOS1" s="935"/>
      <c r="JOT1" s="935"/>
      <c r="JOU1" s="935"/>
      <c r="JOV1" s="935"/>
      <c r="JOW1" s="935"/>
      <c r="JOX1" s="935"/>
      <c r="JOY1" s="935"/>
      <c r="JOZ1" s="935"/>
      <c r="JPA1" s="935"/>
      <c r="JPB1" s="935"/>
      <c r="JPC1" s="935"/>
      <c r="JPD1" s="935"/>
      <c r="JPE1" s="935"/>
      <c r="JPF1" s="935"/>
      <c r="JPG1" s="935"/>
      <c r="JPH1" s="935"/>
      <c r="JPI1" s="935"/>
      <c r="JPJ1" s="935"/>
      <c r="JPK1" s="935"/>
      <c r="JPL1" s="935"/>
      <c r="JPM1" s="935"/>
      <c r="JPN1" s="935"/>
      <c r="JPO1" s="935"/>
      <c r="JPP1" s="935"/>
      <c r="JPQ1" s="935"/>
      <c r="JPR1" s="935"/>
      <c r="JPS1" s="935"/>
      <c r="JPT1" s="935"/>
      <c r="JPU1" s="935"/>
      <c r="JPV1" s="935"/>
      <c r="JPW1" s="935"/>
      <c r="JPX1" s="935"/>
      <c r="JPY1" s="935"/>
      <c r="JPZ1" s="935"/>
      <c r="JQA1" s="935"/>
      <c r="JQB1" s="935"/>
      <c r="JQC1" s="935"/>
      <c r="JQD1" s="935"/>
      <c r="JQE1" s="935"/>
      <c r="JQF1" s="935"/>
      <c r="JQG1" s="935"/>
      <c r="JQH1" s="935"/>
      <c r="JQI1" s="935"/>
      <c r="JQJ1" s="935"/>
      <c r="JQK1" s="935"/>
      <c r="JQL1" s="935"/>
      <c r="JQM1" s="935"/>
      <c r="JQN1" s="935"/>
      <c r="JQO1" s="935"/>
      <c r="JQP1" s="935"/>
      <c r="JQQ1" s="935"/>
      <c r="JQR1" s="935"/>
      <c r="JQS1" s="935"/>
      <c r="JQT1" s="935"/>
      <c r="JQU1" s="935"/>
      <c r="JQV1" s="935"/>
      <c r="JQW1" s="935"/>
      <c r="JQX1" s="935"/>
      <c r="JQY1" s="935"/>
      <c r="JQZ1" s="935"/>
      <c r="JRA1" s="935"/>
      <c r="JRB1" s="935"/>
      <c r="JRC1" s="935"/>
      <c r="JRD1" s="935"/>
      <c r="JRE1" s="935"/>
      <c r="JRF1" s="935"/>
      <c r="JRG1" s="935"/>
      <c r="JRH1" s="935"/>
      <c r="JRI1" s="935"/>
      <c r="JRJ1" s="935"/>
      <c r="JRK1" s="935"/>
      <c r="JRL1" s="935"/>
      <c r="JRM1" s="935"/>
      <c r="JRN1" s="935"/>
      <c r="JRO1" s="935"/>
      <c r="JRP1" s="935"/>
      <c r="JRQ1" s="935"/>
      <c r="JRR1" s="935"/>
      <c r="JRS1" s="935"/>
      <c r="JRT1" s="935"/>
      <c r="JRU1" s="935"/>
      <c r="JRV1" s="935"/>
      <c r="JRW1" s="935"/>
      <c r="JRX1" s="935"/>
      <c r="JRY1" s="935"/>
      <c r="JRZ1" s="935"/>
      <c r="JSA1" s="935"/>
      <c r="JSB1" s="935"/>
      <c r="JSC1" s="935"/>
      <c r="JSD1" s="935"/>
      <c r="JSE1" s="935"/>
      <c r="JSF1" s="935"/>
      <c r="JSG1" s="935"/>
      <c r="JSH1" s="935"/>
      <c r="JSI1" s="935"/>
      <c r="JSJ1" s="935"/>
      <c r="JSK1" s="935"/>
      <c r="JSL1" s="935"/>
      <c r="JSM1" s="935"/>
      <c r="JSN1" s="935"/>
      <c r="JSO1" s="935"/>
      <c r="JSP1" s="935"/>
      <c r="JSQ1" s="935"/>
      <c r="JSR1" s="935"/>
      <c r="JSS1" s="935"/>
      <c r="JST1" s="935"/>
      <c r="JSU1" s="935"/>
      <c r="JSV1" s="935"/>
      <c r="JSW1" s="935"/>
      <c r="JSX1" s="935"/>
      <c r="JSY1" s="935"/>
      <c r="JSZ1" s="935"/>
      <c r="JTA1" s="935"/>
      <c r="JTB1" s="935"/>
      <c r="JTC1" s="935"/>
      <c r="JTD1" s="935"/>
      <c r="JTE1" s="935"/>
      <c r="JTF1" s="935"/>
      <c r="JTG1" s="935"/>
      <c r="JTH1" s="935"/>
      <c r="JTI1" s="935"/>
      <c r="JTJ1" s="935"/>
      <c r="JTK1" s="935"/>
      <c r="JTL1" s="935"/>
      <c r="JTM1" s="935"/>
      <c r="JTN1" s="935"/>
      <c r="JTO1" s="935"/>
      <c r="JTP1" s="935"/>
      <c r="JTQ1" s="935"/>
      <c r="JTR1" s="935"/>
      <c r="JTS1" s="935"/>
      <c r="JTT1" s="935"/>
      <c r="JTU1" s="935"/>
      <c r="JTV1" s="935"/>
      <c r="JTW1" s="935"/>
      <c r="JTX1" s="935"/>
      <c r="JTY1" s="935"/>
      <c r="JTZ1" s="935"/>
      <c r="JUA1" s="935"/>
      <c r="JUB1" s="935"/>
      <c r="JUC1" s="935"/>
      <c r="JUD1" s="935"/>
      <c r="JUE1" s="935"/>
      <c r="JUF1" s="935"/>
      <c r="JUG1" s="935"/>
      <c r="JUH1" s="935"/>
      <c r="JUI1" s="935"/>
      <c r="JUJ1" s="935"/>
      <c r="JUK1" s="935"/>
      <c r="JUL1" s="935"/>
      <c r="JUM1" s="935"/>
      <c r="JUN1" s="935"/>
      <c r="JUO1" s="935"/>
      <c r="JUP1" s="935"/>
      <c r="JUQ1" s="935"/>
      <c r="JUR1" s="935"/>
      <c r="JUS1" s="935"/>
      <c r="JUT1" s="935"/>
      <c r="JUU1" s="935"/>
      <c r="JUV1" s="935"/>
      <c r="JUW1" s="935"/>
      <c r="JUX1" s="935"/>
      <c r="JUY1" s="935"/>
      <c r="JUZ1" s="935"/>
      <c r="JVA1" s="935"/>
      <c r="JVB1" s="935"/>
      <c r="JVC1" s="935"/>
      <c r="JVD1" s="935"/>
      <c r="JVE1" s="935"/>
      <c r="JVF1" s="935"/>
      <c r="JVG1" s="935"/>
      <c r="JVH1" s="935"/>
      <c r="JVI1" s="935"/>
      <c r="JVJ1" s="935"/>
      <c r="JVK1" s="935"/>
      <c r="JVL1" s="935"/>
      <c r="JVM1" s="935"/>
      <c r="JVN1" s="935"/>
      <c r="JVO1" s="935"/>
      <c r="JVP1" s="935"/>
      <c r="JVQ1" s="935"/>
      <c r="JVR1" s="935"/>
      <c r="JVS1" s="935"/>
      <c r="JVT1" s="935"/>
      <c r="JVU1" s="935"/>
      <c r="JVV1" s="935"/>
      <c r="JVW1" s="935"/>
      <c r="JVX1" s="935"/>
      <c r="JVY1" s="935"/>
      <c r="JVZ1" s="935"/>
      <c r="JWA1" s="935"/>
      <c r="JWB1" s="935"/>
      <c r="JWC1" s="935"/>
      <c r="JWD1" s="935"/>
      <c r="JWE1" s="935"/>
      <c r="JWF1" s="935"/>
      <c r="JWG1" s="935"/>
      <c r="JWH1" s="935"/>
      <c r="JWI1" s="935"/>
      <c r="JWJ1" s="935"/>
      <c r="JWK1" s="935"/>
      <c r="JWL1" s="935"/>
      <c r="JWM1" s="935"/>
      <c r="JWN1" s="935"/>
      <c r="JWO1" s="935"/>
      <c r="JWP1" s="935"/>
      <c r="JWQ1" s="935"/>
      <c r="JWR1" s="935"/>
      <c r="JWS1" s="935"/>
      <c r="JWT1" s="935"/>
      <c r="JWU1" s="935"/>
      <c r="JWV1" s="935"/>
      <c r="JWW1" s="935"/>
      <c r="JWX1" s="935"/>
      <c r="JWY1" s="935"/>
      <c r="JWZ1" s="935"/>
      <c r="JXA1" s="935"/>
      <c r="JXB1" s="935"/>
      <c r="JXC1" s="935"/>
      <c r="JXD1" s="935"/>
      <c r="JXE1" s="935"/>
      <c r="JXF1" s="935"/>
      <c r="JXG1" s="935"/>
      <c r="JXH1" s="935"/>
      <c r="JXI1" s="935"/>
      <c r="JXJ1" s="935"/>
      <c r="JXK1" s="935"/>
      <c r="JXL1" s="935"/>
      <c r="JXM1" s="935"/>
      <c r="JXN1" s="935"/>
      <c r="JXO1" s="935"/>
      <c r="JXP1" s="935"/>
      <c r="JXQ1" s="935"/>
      <c r="JXR1" s="935"/>
      <c r="JXS1" s="935"/>
      <c r="JXT1" s="935"/>
      <c r="JXU1" s="935"/>
      <c r="JXV1" s="935"/>
      <c r="JXW1" s="935"/>
      <c r="JXX1" s="935"/>
      <c r="JXY1" s="935"/>
      <c r="JXZ1" s="935"/>
      <c r="JYA1" s="935"/>
      <c r="JYB1" s="935"/>
      <c r="JYC1" s="935"/>
      <c r="JYD1" s="935"/>
      <c r="JYE1" s="935"/>
      <c r="JYF1" s="935"/>
      <c r="JYG1" s="935"/>
      <c r="JYH1" s="935"/>
      <c r="JYI1" s="935"/>
      <c r="JYJ1" s="935"/>
      <c r="JYK1" s="935"/>
      <c r="JYL1" s="935"/>
      <c r="JYM1" s="935"/>
      <c r="JYN1" s="935"/>
      <c r="JYO1" s="935"/>
      <c r="JYP1" s="935"/>
      <c r="JYQ1" s="935"/>
      <c r="JYR1" s="935"/>
      <c r="JYS1" s="935"/>
      <c r="JYT1" s="935"/>
      <c r="JYU1" s="935"/>
      <c r="JYV1" s="935"/>
      <c r="JYW1" s="935"/>
      <c r="JYX1" s="935"/>
      <c r="JYY1" s="935"/>
      <c r="JYZ1" s="935"/>
      <c r="JZA1" s="935"/>
      <c r="JZB1" s="935"/>
      <c r="JZC1" s="935"/>
      <c r="JZD1" s="935"/>
      <c r="JZE1" s="935"/>
      <c r="JZF1" s="935"/>
      <c r="JZG1" s="935"/>
      <c r="JZH1" s="935"/>
      <c r="JZI1" s="935"/>
      <c r="JZJ1" s="935"/>
      <c r="JZK1" s="935"/>
      <c r="JZL1" s="935"/>
      <c r="JZM1" s="935"/>
      <c r="JZN1" s="935"/>
      <c r="JZO1" s="935"/>
      <c r="JZP1" s="935"/>
      <c r="JZQ1" s="935"/>
      <c r="JZR1" s="935"/>
      <c r="JZS1" s="935"/>
      <c r="JZT1" s="935"/>
      <c r="JZU1" s="935"/>
      <c r="JZV1" s="935"/>
      <c r="JZW1" s="935"/>
      <c r="JZX1" s="935"/>
      <c r="JZY1" s="935"/>
      <c r="JZZ1" s="935"/>
      <c r="KAA1" s="935"/>
      <c r="KAB1" s="935"/>
      <c r="KAC1" s="935"/>
      <c r="KAD1" s="935"/>
      <c r="KAE1" s="935"/>
      <c r="KAF1" s="935"/>
      <c r="KAG1" s="935"/>
      <c r="KAH1" s="935"/>
      <c r="KAI1" s="935"/>
      <c r="KAJ1" s="935"/>
      <c r="KAK1" s="935"/>
      <c r="KAL1" s="935"/>
      <c r="KAM1" s="935"/>
      <c r="KAN1" s="935"/>
      <c r="KAO1" s="935"/>
      <c r="KAP1" s="935"/>
      <c r="KAQ1" s="935"/>
      <c r="KAR1" s="935"/>
      <c r="KAS1" s="935"/>
      <c r="KAT1" s="935"/>
      <c r="KAU1" s="935"/>
      <c r="KAV1" s="935"/>
      <c r="KAW1" s="935"/>
      <c r="KAX1" s="935"/>
      <c r="KAY1" s="935"/>
      <c r="KAZ1" s="935"/>
      <c r="KBA1" s="935"/>
      <c r="KBB1" s="935"/>
      <c r="KBC1" s="935"/>
      <c r="KBD1" s="935"/>
      <c r="KBE1" s="935"/>
      <c r="KBF1" s="935"/>
      <c r="KBG1" s="935"/>
      <c r="KBH1" s="935"/>
      <c r="KBI1" s="935"/>
      <c r="KBJ1" s="935"/>
      <c r="KBK1" s="935"/>
      <c r="KBL1" s="935"/>
      <c r="KBM1" s="935"/>
      <c r="KBN1" s="935"/>
      <c r="KBO1" s="935"/>
      <c r="KBP1" s="935"/>
      <c r="KBQ1" s="935"/>
      <c r="KBR1" s="935"/>
      <c r="KBS1" s="935"/>
      <c r="KBT1" s="935"/>
      <c r="KBU1" s="935"/>
      <c r="KBV1" s="935"/>
      <c r="KBW1" s="935"/>
      <c r="KBX1" s="935"/>
      <c r="KBY1" s="935"/>
      <c r="KBZ1" s="935"/>
      <c r="KCA1" s="935"/>
      <c r="KCB1" s="935"/>
      <c r="KCC1" s="935"/>
      <c r="KCD1" s="935"/>
      <c r="KCE1" s="935"/>
      <c r="KCF1" s="935"/>
      <c r="KCG1" s="935"/>
      <c r="KCH1" s="935"/>
      <c r="KCI1" s="935"/>
      <c r="KCJ1" s="935"/>
      <c r="KCK1" s="935"/>
      <c r="KCL1" s="935"/>
      <c r="KCM1" s="935"/>
      <c r="KCN1" s="935"/>
      <c r="KCO1" s="935"/>
      <c r="KCP1" s="935"/>
      <c r="KCQ1" s="935"/>
      <c r="KCR1" s="935"/>
      <c r="KCS1" s="935"/>
      <c r="KCT1" s="935"/>
      <c r="KCU1" s="935"/>
      <c r="KCV1" s="935"/>
      <c r="KCW1" s="935"/>
      <c r="KCX1" s="935"/>
      <c r="KCY1" s="935"/>
      <c r="KCZ1" s="935"/>
      <c r="KDA1" s="935"/>
      <c r="KDB1" s="935"/>
      <c r="KDC1" s="935"/>
      <c r="KDD1" s="935"/>
      <c r="KDE1" s="935"/>
      <c r="KDF1" s="935"/>
      <c r="KDG1" s="935"/>
      <c r="KDH1" s="935"/>
      <c r="KDI1" s="935"/>
      <c r="KDJ1" s="935"/>
      <c r="KDK1" s="935"/>
      <c r="KDL1" s="935"/>
      <c r="KDM1" s="935"/>
      <c r="KDN1" s="935"/>
      <c r="KDO1" s="935"/>
      <c r="KDP1" s="935"/>
      <c r="KDQ1" s="935"/>
      <c r="KDR1" s="935"/>
      <c r="KDS1" s="935"/>
      <c r="KDT1" s="935"/>
      <c r="KDU1" s="935"/>
      <c r="KDV1" s="935"/>
      <c r="KDW1" s="935"/>
      <c r="KDX1" s="935"/>
      <c r="KDY1" s="935"/>
      <c r="KDZ1" s="935"/>
      <c r="KEA1" s="935"/>
      <c r="KEB1" s="935"/>
      <c r="KEC1" s="935"/>
      <c r="KED1" s="935"/>
      <c r="KEE1" s="935"/>
      <c r="KEF1" s="935"/>
      <c r="KEG1" s="935"/>
      <c r="KEH1" s="935"/>
      <c r="KEI1" s="935"/>
      <c r="KEJ1" s="935"/>
      <c r="KEK1" s="935"/>
      <c r="KEL1" s="935"/>
      <c r="KEM1" s="935"/>
      <c r="KEN1" s="935"/>
      <c r="KEO1" s="935"/>
      <c r="KEP1" s="935"/>
      <c r="KEQ1" s="935"/>
      <c r="KER1" s="935"/>
      <c r="KES1" s="935"/>
      <c r="KET1" s="935"/>
      <c r="KEU1" s="935"/>
      <c r="KEV1" s="935"/>
      <c r="KEW1" s="935"/>
      <c r="KEX1" s="935"/>
      <c r="KEY1" s="935"/>
      <c r="KEZ1" s="935"/>
      <c r="KFA1" s="935"/>
      <c r="KFB1" s="935"/>
      <c r="KFC1" s="935"/>
      <c r="KFD1" s="935"/>
      <c r="KFE1" s="935"/>
      <c r="KFF1" s="935"/>
      <c r="KFG1" s="935"/>
      <c r="KFH1" s="935"/>
      <c r="KFI1" s="935"/>
      <c r="KFJ1" s="935"/>
      <c r="KFK1" s="935"/>
      <c r="KFL1" s="935"/>
      <c r="KFM1" s="935"/>
      <c r="KFN1" s="935"/>
      <c r="KFO1" s="935"/>
      <c r="KFP1" s="935"/>
      <c r="KFQ1" s="935"/>
      <c r="KFR1" s="935"/>
      <c r="KFS1" s="935"/>
      <c r="KFT1" s="935"/>
      <c r="KFU1" s="935"/>
      <c r="KFV1" s="935"/>
      <c r="KFW1" s="935"/>
      <c r="KFX1" s="935"/>
      <c r="KFY1" s="935"/>
      <c r="KFZ1" s="935"/>
      <c r="KGA1" s="935"/>
      <c r="KGB1" s="935"/>
      <c r="KGC1" s="935"/>
      <c r="KGD1" s="935"/>
      <c r="KGE1" s="935"/>
      <c r="KGF1" s="935"/>
      <c r="KGG1" s="935"/>
      <c r="KGH1" s="935"/>
      <c r="KGI1" s="935"/>
      <c r="KGJ1" s="935"/>
      <c r="KGK1" s="935"/>
      <c r="KGL1" s="935"/>
      <c r="KGM1" s="935"/>
      <c r="KGN1" s="935"/>
      <c r="KGO1" s="935"/>
      <c r="KGP1" s="935"/>
      <c r="KGQ1" s="935"/>
      <c r="KGR1" s="935"/>
      <c r="KGS1" s="935"/>
      <c r="KGT1" s="935"/>
      <c r="KGU1" s="935"/>
      <c r="KGV1" s="935"/>
      <c r="KGW1" s="935"/>
      <c r="KGX1" s="935"/>
      <c r="KGY1" s="935"/>
      <c r="KGZ1" s="935"/>
      <c r="KHA1" s="935"/>
      <c r="KHB1" s="935"/>
      <c r="KHC1" s="935"/>
      <c r="KHD1" s="935"/>
      <c r="KHE1" s="935"/>
      <c r="KHF1" s="935"/>
      <c r="KHG1" s="935"/>
      <c r="KHH1" s="935"/>
      <c r="KHI1" s="935"/>
      <c r="KHJ1" s="935"/>
      <c r="KHK1" s="935"/>
      <c r="KHL1" s="935"/>
      <c r="KHM1" s="935"/>
      <c r="KHN1" s="935"/>
      <c r="KHO1" s="935"/>
      <c r="KHP1" s="935"/>
      <c r="KHQ1" s="935"/>
      <c r="KHR1" s="935"/>
      <c r="KHS1" s="935"/>
      <c r="KHT1" s="935"/>
      <c r="KHU1" s="935"/>
      <c r="KHV1" s="935"/>
      <c r="KHW1" s="935"/>
      <c r="KHX1" s="935"/>
      <c r="KHY1" s="935"/>
      <c r="KHZ1" s="935"/>
      <c r="KIA1" s="935"/>
      <c r="KIB1" s="935"/>
      <c r="KIC1" s="935"/>
      <c r="KID1" s="935"/>
      <c r="KIE1" s="935"/>
      <c r="KIF1" s="935"/>
      <c r="KIG1" s="935"/>
      <c r="KIH1" s="935"/>
      <c r="KII1" s="935"/>
      <c r="KIJ1" s="935"/>
      <c r="KIK1" s="935"/>
      <c r="KIL1" s="935"/>
      <c r="KIM1" s="935"/>
      <c r="KIN1" s="935"/>
      <c r="KIO1" s="935"/>
      <c r="KIP1" s="935"/>
      <c r="KIQ1" s="935"/>
      <c r="KIR1" s="935"/>
      <c r="KIS1" s="935"/>
      <c r="KIT1" s="935"/>
      <c r="KIU1" s="935"/>
      <c r="KIV1" s="935"/>
      <c r="KIW1" s="935"/>
      <c r="KIX1" s="935"/>
      <c r="KIY1" s="935"/>
      <c r="KIZ1" s="935"/>
      <c r="KJA1" s="935"/>
      <c r="KJB1" s="935"/>
      <c r="KJC1" s="935"/>
      <c r="KJD1" s="935"/>
      <c r="KJE1" s="935"/>
      <c r="KJF1" s="935"/>
      <c r="KJG1" s="935"/>
      <c r="KJH1" s="935"/>
      <c r="KJI1" s="935"/>
      <c r="KJJ1" s="935"/>
      <c r="KJK1" s="935"/>
      <c r="KJL1" s="935"/>
      <c r="KJM1" s="935"/>
      <c r="KJN1" s="935"/>
      <c r="KJO1" s="935"/>
      <c r="KJP1" s="935"/>
      <c r="KJQ1" s="935"/>
      <c r="KJR1" s="935"/>
      <c r="KJS1" s="935"/>
      <c r="KJT1" s="935"/>
      <c r="KJU1" s="935"/>
      <c r="KJV1" s="935"/>
      <c r="KJW1" s="935"/>
      <c r="KJX1" s="935"/>
      <c r="KJY1" s="935"/>
      <c r="KJZ1" s="935"/>
      <c r="KKA1" s="935"/>
      <c r="KKB1" s="935"/>
      <c r="KKC1" s="935"/>
      <c r="KKD1" s="935"/>
      <c r="KKE1" s="935"/>
      <c r="KKF1" s="935"/>
      <c r="KKG1" s="935"/>
      <c r="KKH1" s="935"/>
      <c r="KKI1" s="935"/>
      <c r="KKJ1" s="935"/>
      <c r="KKK1" s="935"/>
      <c r="KKL1" s="935"/>
      <c r="KKM1" s="935"/>
      <c r="KKN1" s="935"/>
      <c r="KKO1" s="935"/>
      <c r="KKP1" s="935"/>
      <c r="KKQ1" s="935"/>
      <c r="KKR1" s="935"/>
      <c r="KKS1" s="935"/>
      <c r="KKT1" s="935"/>
      <c r="KKU1" s="935"/>
      <c r="KKV1" s="935"/>
      <c r="KKW1" s="935"/>
      <c r="KKX1" s="935"/>
      <c r="KKY1" s="935"/>
      <c r="KKZ1" s="935"/>
      <c r="KLA1" s="935"/>
      <c r="KLB1" s="935"/>
      <c r="KLC1" s="935"/>
      <c r="KLD1" s="935"/>
      <c r="KLE1" s="935"/>
      <c r="KLF1" s="935"/>
      <c r="KLG1" s="935"/>
      <c r="KLH1" s="935"/>
      <c r="KLI1" s="935"/>
      <c r="KLJ1" s="935"/>
      <c r="KLK1" s="935"/>
      <c r="KLL1" s="935"/>
      <c r="KLM1" s="935"/>
      <c r="KLN1" s="935"/>
      <c r="KLO1" s="935"/>
      <c r="KLP1" s="935"/>
      <c r="KLQ1" s="935"/>
      <c r="KLR1" s="935"/>
      <c r="KLS1" s="935"/>
      <c r="KLT1" s="935"/>
      <c r="KLU1" s="935"/>
      <c r="KLV1" s="935"/>
      <c r="KLW1" s="935"/>
      <c r="KLX1" s="935"/>
      <c r="KLY1" s="935"/>
      <c r="KLZ1" s="935"/>
      <c r="KMA1" s="935"/>
      <c r="KMB1" s="935"/>
      <c r="KMC1" s="935"/>
      <c r="KMD1" s="935"/>
      <c r="KME1" s="935"/>
      <c r="KMF1" s="935"/>
      <c r="KMG1" s="935"/>
      <c r="KMH1" s="935"/>
      <c r="KMI1" s="935"/>
      <c r="KMJ1" s="935"/>
      <c r="KMK1" s="935"/>
      <c r="KML1" s="935"/>
      <c r="KMM1" s="935"/>
      <c r="KMN1" s="935"/>
      <c r="KMO1" s="935"/>
      <c r="KMP1" s="935"/>
      <c r="KMQ1" s="935"/>
      <c r="KMR1" s="935"/>
      <c r="KMS1" s="935"/>
      <c r="KMT1" s="935"/>
      <c r="KMU1" s="935"/>
      <c r="KMV1" s="935"/>
      <c r="KMW1" s="935"/>
      <c r="KMX1" s="935"/>
      <c r="KMY1" s="935"/>
      <c r="KMZ1" s="935"/>
      <c r="KNA1" s="935"/>
      <c r="KNB1" s="935"/>
      <c r="KNC1" s="935"/>
      <c r="KND1" s="935"/>
      <c r="KNE1" s="935"/>
      <c r="KNF1" s="935"/>
      <c r="KNG1" s="935"/>
      <c r="KNH1" s="935"/>
      <c r="KNI1" s="935"/>
      <c r="KNJ1" s="935"/>
      <c r="KNK1" s="935"/>
      <c r="KNL1" s="935"/>
      <c r="KNM1" s="935"/>
      <c r="KNN1" s="935"/>
      <c r="KNO1" s="935"/>
      <c r="KNP1" s="935"/>
      <c r="KNQ1" s="935"/>
      <c r="KNR1" s="935"/>
      <c r="KNS1" s="935"/>
      <c r="KNT1" s="935"/>
      <c r="KNU1" s="935"/>
      <c r="KNV1" s="935"/>
      <c r="KNW1" s="935"/>
      <c r="KNX1" s="935"/>
      <c r="KNY1" s="935"/>
      <c r="KNZ1" s="935"/>
      <c r="KOA1" s="935"/>
      <c r="KOB1" s="935"/>
      <c r="KOC1" s="935"/>
      <c r="KOD1" s="935"/>
      <c r="KOE1" s="935"/>
      <c r="KOF1" s="935"/>
      <c r="KOG1" s="935"/>
      <c r="KOH1" s="935"/>
      <c r="KOI1" s="935"/>
      <c r="KOJ1" s="935"/>
      <c r="KOK1" s="935"/>
      <c r="KOL1" s="935"/>
      <c r="KOM1" s="935"/>
      <c r="KON1" s="935"/>
      <c r="KOO1" s="935"/>
      <c r="KOP1" s="935"/>
      <c r="KOQ1" s="935"/>
      <c r="KOR1" s="935"/>
      <c r="KOS1" s="935"/>
      <c r="KOT1" s="935"/>
      <c r="KOU1" s="935"/>
      <c r="KOV1" s="935"/>
      <c r="KOW1" s="935"/>
      <c r="KOX1" s="935"/>
      <c r="KOY1" s="935"/>
      <c r="KOZ1" s="935"/>
      <c r="KPA1" s="935"/>
      <c r="KPB1" s="935"/>
      <c r="KPC1" s="935"/>
      <c r="KPD1" s="935"/>
      <c r="KPE1" s="935"/>
      <c r="KPF1" s="935"/>
      <c r="KPG1" s="935"/>
      <c r="KPH1" s="935"/>
      <c r="KPI1" s="935"/>
      <c r="KPJ1" s="935"/>
      <c r="KPK1" s="935"/>
      <c r="KPL1" s="935"/>
      <c r="KPM1" s="935"/>
      <c r="KPN1" s="935"/>
      <c r="KPO1" s="935"/>
      <c r="KPP1" s="935"/>
      <c r="KPQ1" s="935"/>
      <c r="KPR1" s="935"/>
      <c r="KPS1" s="935"/>
      <c r="KPT1" s="935"/>
      <c r="KPU1" s="935"/>
      <c r="KPV1" s="935"/>
      <c r="KPW1" s="935"/>
      <c r="KPX1" s="935"/>
      <c r="KPY1" s="935"/>
      <c r="KPZ1" s="935"/>
      <c r="KQA1" s="935"/>
      <c r="KQB1" s="935"/>
      <c r="KQC1" s="935"/>
      <c r="KQD1" s="935"/>
      <c r="KQE1" s="935"/>
      <c r="KQF1" s="935"/>
      <c r="KQG1" s="935"/>
      <c r="KQH1" s="935"/>
      <c r="KQI1" s="935"/>
      <c r="KQJ1" s="935"/>
      <c r="KQK1" s="935"/>
      <c r="KQL1" s="935"/>
      <c r="KQM1" s="935"/>
      <c r="KQN1" s="935"/>
      <c r="KQO1" s="935"/>
      <c r="KQP1" s="935"/>
      <c r="KQQ1" s="935"/>
      <c r="KQR1" s="935"/>
      <c r="KQS1" s="935"/>
      <c r="KQT1" s="935"/>
      <c r="KQU1" s="935"/>
      <c r="KQV1" s="935"/>
      <c r="KQW1" s="935"/>
      <c r="KQX1" s="935"/>
      <c r="KQY1" s="935"/>
      <c r="KQZ1" s="935"/>
      <c r="KRA1" s="935"/>
      <c r="KRB1" s="935"/>
      <c r="KRC1" s="935"/>
      <c r="KRD1" s="935"/>
      <c r="KRE1" s="935"/>
      <c r="KRF1" s="935"/>
      <c r="KRG1" s="935"/>
      <c r="KRH1" s="935"/>
      <c r="KRI1" s="935"/>
      <c r="KRJ1" s="935"/>
      <c r="KRK1" s="935"/>
      <c r="KRL1" s="935"/>
      <c r="KRM1" s="935"/>
      <c r="KRN1" s="935"/>
      <c r="KRO1" s="935"/>
      <c r="KRP1" s="935"/>
      <c r="KRQ1" s="935"/>
      <c r="KRR1" s="935"/>
      <c r="KRS1" s="935"/>
      <c r="KRT1" s="935"/>
      <c r="KRU1" s="935"/>
      <c r="KRV1" s="935"/>
      <c r="KRW1" s="935"/>
      <c r="KRX1" s="935"/>
      <c r="KRY1" s="935"/>
      <c r="KRZ1" s="935"/>
      <c r="KSA1" s="935"/>
      <c r="KSB1" s="935"/>
      <c r="KSC1" s="935"/>
      <c r="KSD1" s="935"/>
      <c r="KSE1" s="935"/>
      <c r="KSF1" s="935"/>
      <c r="KSG1" s="935"/>
      <c r="KSH1" s="935"/>
      <c r="KSI1" s="935"/>
      <c r="KSJ1" s="935"/>
      <c r="KSK1" s="935"/>
      <c r="KSL1" s="935"/>
      <c r="KSM1" s="935"/>
      <c r="KSN1" s="935"/>
      <c r="KSO1" s="935"/>
      <c r="KSP1" s="935"/>
      <c r="KSQ1" s="935"/>
      <c r="KSR1" s="935"/>
      <c r="KSS1" s="935"/>
      <c r="KST1" s="935"/>
      <c r="KSU1" s="935"/>
      <c r="KSV1" s="935"/>
      <c r="KSW1" s="935"/>
      <c r="KSX1" s="935"/>
      <c r="KSY1" s="935"/>
      <c r="KSZ1" s="935"/>
      <c r="KTA1" s="935"/>
      <c r="KTB1" s="935"/>
      <c r="KTC1" s="935"/>
      <c r="KTD1" s="935"/>
      <c r="KTE1" s="935"/>
      <c r="KTF1" s="935"/>
      <c r="KTG1" s="935"/>
      <c r="KTH1" s="935"/>
      <c r="KTI1" s="935"/>
      <c r="KTJ1" s="935"/>
      <c r="KTK1" s="935"/>
      <c r="KTL1" s="935"/>
      <c r="KTM1" s="935"/>
      <c r="KTN1" s="935"/>
      <c r="KTO1" s="935"/>
      <c r="KTP1" s="935"/>
      <c r="KTQ1" s="935"/>
      <c r="KTR1" s="935"/>
      <c r="KTS1" s="935"/>
      <c r="KTT1" s="935"/>
      <c r="KTU1" s="935"/>
      <c r="KTV1" s="935"/>
      <c r="KTW1" s="935"/>
      <c r="KTX1" s="935"/>
      <c r="KTY1" s="935"/>
      <c r="KTZ1" s="935"/>
      <c r="KUA1" s="935"/>
      <c r="KUB1" s="935"/>
      <c r="KUC1" s="935"/>
      <c r="KUD1" s="935"/>
      <c r="KUE1" s="935"/>
      <c r="KUF1" s="935"/>
      <c r="KUG1" s="935"/>
      <c r="KUH1" s="935"/>
      <c r="KUI1" s="935"/>
      <c r="KUJ1" s="935"/>
      <c r="KUK1" s="935"/>
      <c r="KUL1" s="935"/>
      <c r="KUM1" s="935"/>
      <c r="KUN1" s="935"/>
      <c r="KUO1" s="935"/>
      <c r="KUP1" s="935"/>
      <c r="KUQ1" s="935"/>
      <c r="KUR1" s="935"/>
      <c r="KUS1" s="935"/>
      <c r="KUT1" s="935"/>
      <c r="KUU1" s="935"/>
      <c r="KUV1" s="935"/>
      <c r="KUW1" s="935"/>
      <c r="KUX1" s="935"/>
      <c r="KUY1" s="935"/>
      <c r="KUZ1" s="935"/>
      <c r="KVA1" s="935"/>
      <c r="KVB1" s="935"/>
      <c r="KVC1" s="935"/>
      <c r="KVD1" s="935"/>
      <c r="KVE1" s="935"/>
      <c r="KVF1" s="935"/>
      <c r="KVG1" s="935"/>
      <c r="KVH1" s="935"/>
      <c r="KVI1" s="935"/>
      <c r="KVJ1" s="935"/>
      <c r="KVK1" s="935"/>
      <c r="KVL1" s="935"/>
      <c r="KVM1" s="935"/>
      <c r="KVN1" s="935"/>
      <c r="KVO1" s="935"/>
      <c r="KVP1" s="935"/>
      <c r="KVQ1" s="935"/>
      <c r="KVR1" s="935"/>
      <c r="KVS1" s="935"/>
      <c r="KVT1" s="935"/>
      <c r="KVU1" s="935"/>
      <c r="KVV1" s="935"/>
      <c r="KVW1" s="935"/>
      <c r="KVX1" s="935"/>
      <c r="KVY1" s="935"/>
      <c r="KVZ1" s="935"/>
      <c r="KWA1" s="935"/>
      <c r="KWB1" s="935"/>
      <c r="KWC1" s="935"/>
      <c r="KWD1" s="935"/>
      <c r="KWE1" s="935"/>
      <c r="KWF1" s="935"/>
      <c r="KWG1" s="935"/>
      <c r="KWH1" s="935"/>
      <c r="KWI1" s="935"/>
      <c r="KWJ1" s="935"/>
      <c r="KWK1" s="935"/>
      <c r="KWL1" s="935"/>
      <c r="KWM1" s="935"/>
      <c r="KWN1" s="935"/>
      <c r="KWO1" s="935"/>
      <c r="KWP1" s="935"/>
      <c r="KWQ1" s="935"/>
      <c r="KWR1" s="935"/>
      <c r="KWS1" s="935"/>
      <c r="KWT1" s="935"/>
      <c r="KWU1" s="935"/>
      <c r="KWV1" s="935"/>
      <c r="KWW1" s="935"/>
      <c r="KWX1" s="935"/>
      <c r="KWY1" s="935"/>
      <c r="KWZ1" s="935"/>
      <c r="KXA1" s="935"/>
      <c r="KXB1" s="935"/>
      <c r="KXC1" s="935"/>
      <c r="KXD1" s="935"/>
      <c r="KXE1" s="935"/>
      <c r="KXF1" s="935"/>
      <c r="KXG1" s="935"/>
      <c r="KXH1" s="935"/>
      <c r="KXI1" s="935"/>
      <c r="KXJ1" s="935"/>
      <c r="KXK1" s="935"/>
      <c r="KXL1" s="935"/>
      <c r="KXM1" s="935"/>
      <c r="KXN1" s="935"/>
      <c r="KXO1" s="935"/>
      <c r="KXP1" s="935"/>
      <c r="KXQ1" s="935"/>
      <c r="KXR1" s="935"/>
      <c r="KXS1" s="935"/>
      <c r="KXT1" s="935"/>
      <c r="KXU1" s="935"/>
      <c r="KXV1" s="935"/>
      <c r="KXW1" s="935"/>
      <c r="KXX1" s="935"/>
      <c r="KXY1" s="935"/>
      <c r="KXZ1" s="935"/>
      <c r="KYA1" s="935"/>
      <c r="KYB1" s="935"/>
      <c r="KYC1" s="935"/>
      <c r="KYD1" s="935"/>
      <c r="KYE1" s="935"/>
      <c r="KYF1" s="935"/>
      <c r="KYG1" s="935"/>
      <c r="KYH1" s="935"/>
      <c r="KYI1" s="935"/>
      <c r="KYJ1" s="935"/>
      <c r="KYK1" s="935"/>
      <c r="KYL1" s="935"/>
      <c r="KYM1" s="935"/>
      <c r="KYN1" s="935"/>
      <c r="KYO1" s="935"/>
      <c r="KYP1" s="935"/>
      <c r="KYQ1" s="935"/>
      <c r="KYR1" s="935"/>
      <c r="KYS1" s="935"/>
      <c r="KYT1" s="935"/>
      <c r="KYU1" s="935"/>
      <c r="KYV1" s="935"/>
      <c r="KYW1" s="935"/>
      <c r="KYX1" s="935"/>
      <c r="KYY1" s="935"/>
      <c r="KYZ1" s="935"/>
      <c r="KZA1" s="935"/>
      <c r="KZB1" s="935"/>
      <c r="KZC1" s="935"/>
      <c r="KZD1" s="935"/>
      <c r="KZE1" s="935"/>
      <c r="KZF1" s="935"/>
      <c r="KZG1" s="935"/>
      <c r="KZH1" s="935"/>
      <c r="KZI1" s="935"/>
      <c r="KZJ1" s="935"/>
      <c r="KZK1" s="935"/>
      <c r="KZL1" s="935"/>
      <c r="KZM1" s="935"/>
      <c r="KZN1" s="935"/>
      <c r="KZO1" s="935"/>
      <c r="KZP1" s="935"/>
      <c r="KZQ1" s="935"/>
      <c r="KZR1" s="935"/>
      <c r="KZS1" s="935"/>
      <c r="KZT1" s="935"/>
      <c r="KZU1" s="935"/>
      <c r="KZV1" s="935"/>
      <c r="KZW1" s="935"/>
      <c r="KZX1" s="935"/>
      <c r="KZY1" s="935"/>
      <c r="KZZ1" s="935"/>
      <c r="LAA1" s="935"/>
      <c r="LAB1" s="935"/>
      <c r="LAC1" s="935"/>
      <c r="LAD1" s="935"/>
      <c r="LAE1" s="935"/>
      <c r="LAF1" s="935"/>
      <c r="LAG1" s="935"/>
      <c r="LAH1" s="935"/>
      <c r="LAI1" s="935"/>
      <c r="LAJ1" s="935"/>
      <c r="LAK1" s="935"/>
      <c r="LAL1" s="935"/>
      <c r="LAM1" s="935"/>
      <c r="LAN1" s="935"/>
      <c r="LAO1" s="935"/>
      <c r="LAP1" s="935"/>
      <c r="LAQ1" s="935"/>
      <c r="LAR1" s="935"/>
      <c r="LAS1" s="935"/>
      <c r="LAT1" s="935"/>
      <c r="LAU1" s="935"/>
      <c r="LAV1" s="935"/>
      <c r="LAW1" s="935"/>
      <c r="LAX1" s="935"/>
      <c r="LAY1" s="935"/>
      <c r="LAZ1" s="935"/>
      <c r="LBA1" s="935"/>
      <c r="LBB1" s="935"/>
      <c r="LBC1" s="935"/>
      <c r="LBD1" s="935"/>
      <c r="LBE1" s="935"/>
      <c r="LBF1" s="935"/>
      <c r="LBG1" s="935"/>
      <c r="LBH1" s="935"/>
      <c r="LBI1" s="935"/>
      <c r="LBJ1" s="935"/>
      <c r="LBK1" s="935"/>
      <c r="LBL1" s="935"/>
      <c r="LBM1" s="935"/>
      <c r="LBN1" s="935"/>
      <c r="LBO1" s="935"/>
      <c r="LBP1" s="935"/>
      <c r="LBQ1" s="935"/>
      <c r="LBR1" s="935"/>
      <c r="LBS1" s="935"/>
      <c r="LBT1" s="935"/>
      <c r="LBU1" s="935"/>
      <c r="LBV1" s="935"/>
      <c r="LBW1" s="935"/>
      <c r="LBX1" s="935"/>
      <c r="LBY1" s="935"/>
      <c r="LBZ1" s="935"/>
      <c r="LCA1" s="935"/>
      <c r="LCB1" s="935"/>
      <c r="LCC1" s="935"/>
      <c r="LCD1" s="935"/>
      <c r="LCE1" s="935"/>
      <c r="LCF1" s="935"/>
      <c r="LCG1" s="935"/>
      <c r="LCH1" s="935"/>
      <c r="LCI1" s="935"/>
      <c r="LCJ1" s="935"/>
      <c r="LCK1" s="935"/>
      <c r="LCL1" s="935"/>
      <c r="LCM1" s="935"/>
      <c r="LCN1" s="935"/>
      <c r="LCO1" s="935"/>
      <c r="LCP1" s="935"/>
      <c r="LCQ1" s="935"/>
      <c r="LCR1" s="935"/>
      <c r="LCS1" s="935"/>
      <c r="LCT1" s="935"/>
      <c r="LCU1" s="935"/>
      <c r="LCV1" s="935"/>
      <c r="LCW1" s="935"/>
      <c r="LCX1" s="935"/>
      <c r="LCY1" s="935"/>
      <c r="LCZ1" s="935"/>
      <c r="LDA1" s="935"/>
      <c r="LDB1" s="935"/>
      <c r="LDC1" s="935"/>
      <c r="LDD1" s="935"/>
      <c r="LDE1" s="935"/>
      <c r="LDF1" s="935"/>
      <c r="LDG1" s="935"/>
      <c r="LDH1" s="935"/>
      <c r="LDI1" s="935"/>
      <c r="LDJ1" s="935"/>
      <c r="LDK1" s="935"/>
      <c r="LDL1" s="935"/>
      <c r="LDM1" s="935"/>
      <c r="LDN1" s="935"/>
      <c r="LDO1" s="935"/>
      <c r="LDP1" s="935"/>
      <c r="LDQ1" s="935"/>
      <c r="LDR1" s="935"/>
      <c r="LDS1" s="935"/>
      <c r="LDT1" s="935"/>
      <c r="LDU1" s="935"/>
      <c r="LDV1" s="935"/>
      <c r="LDW1" s="935"/>
      <c r="LDX1" s="935"/>
      <c r="LDY1" s="935"/>
      <c r="LDZ1" s="935"/>
      <c r="LEA1" s="935"/>
      <c r="LEB1" s="935"/>
      <c r="LEC1" s="935"/>
      <c r="LED1" s="935"/>
      <c r="LEE1" s="935"/>
      <c r="LEF1" s="935"/>
      <c r="LEG1" s="935"/>
      <c r="LEH1" s="935"/>
      <c r="LEI1" s="935"/>
      <c r="LEJ1" s="935"/>
      <c r="LEK1" s="935"/>
      <c r="LEL1" s="935"/>
      <c r="LEM1" s="935"/>
      <c r="LEN1" s="935"/>
      <c r="LEO1" s="935"/>
      <c r="LEP1" s="935"/>
      <c r="LEQ1" s="935"/>
      <c r="LER1" s="935"/>
      <c r="LES1" s="935"/>
      <c r="LET1" s="935"/>
      <c r="LEU1" s="935"/>
      <c r="LEV1" s="935"/>
      <c r="LEW1" s="935"/>
      <c r="LEX1" s="935"/>
      <c r="LEY1" s="935"/>
      <c r="LEZ1" s="935"/>
      <c r="LFA1" s="935"/>
      <c r="LFB1" s="935"/>
      <c r="LFC1" s="935"/>
      <c r="LFD1" s="935"/>
      <c r="LFE1" s="935"/>
      <c r="LFF1" s="935"/>
      <c r="LFG1" s="935"/>
      <c r="LFH1" s="935"/>
      <c r="LFI1" s="935"/>
      <c r="LFJ1" s="935"/>
      <c r="LFK1" s="935"/>
      <c r="LFL1" s="935"/>
      <c r="LFM1" s="935"/>
      <c r="LFN1" s="935"/>
      <c r="LFO1" s="935"/>
      <c r="LFP1" s="935"/>
      <c r="LFQ1" s="935"/>
      <c r="LFR1" s="935"/>
      <c r="LFS1" s="935"/>
      <c r="LFT1" s="935"/>
      <c r="LFU1" s="935"/>
      <c r="LFV1" s="935"/>
      <c r="LFW1" s="935"/>
      <c r="LFX1" s="935"/>
      <c r="LFY1" s="935"/>
      <c r="LFZ1" s="935"/>
      <c r="LGA1" s="935"/>
      <c r="LGB1" s="935"/>
      <c r="LGC1" s="935"/>
      <c r="LGD1" s="935"/>
      <c r="LGE1" s="935"/>
      <c r="LGF1" s="935"/>
      <c r="LGG1" s="935"/>
      <c r="LGH1" s="935"/>
      <c r="LGI1" s="935"/>
      <c r="LGJ1" s="935"/>
      <c r="LGK1" s="935"/>
      <c r="LGL1" s="935"/>
      <c r="LGM1" s="935"/>
      <c r="LGN1" s="935"/>
      <c r="LGO1" s="935"/>
      <c r="LGP1" s="935"/>
      <c r="LGQ1" s="935"/>
      <c r="LGR1" s="935"/>
      <c r="LGS1" s="935"/>
      <c r="LGT1" s="935"/>
      <c r="LGU1" s="935"/>
      <c r="LGV1" s="935"/>
      <c r="LGW1" s="935"/>
      <c r="LGX1" s="935"/>
      <c r="LGY1" s="935"/>
      <c r="LGZ1" s="935"/>
      <c r="LHA1" s="935"/>
      <c r="LHB1" s="935"/>
      <c r="LHC1" s="935"/>
      <c r="LHD1" s="935"/>
      <c r="LHE1" s="935"/>
      <c r="LHF1" s="935"/>
      <c r="LHG1" s="935"/>
      <c r="LHH1" s="935"/>
      <c r="LHI1" s="935"/>
      <c r="LHJ1" s="935"/>
      <c r="LHK1" s="935"/>
      <c r="LHL1" s="935"/>
      <c r="LHM1" s="935"/>
      <c r="LHN1" s="935"/>
      <c r="LHO1" s="935"/>
      <c r="LHP1" s="935"/>
      <c r="LHQ1" s="935"/>
      <c r="LHR1" s="935"/>
      <c r="LHS1" s="935"/>
      <c r="LHT1" s="935"/>
      <c r="LHU1" s="935"/>
      <c r="LHV1" s="935"/>
      <c r="LHW1" s="935"/>
      <c r="LHX1" s="935"/>
      <c r="LHY1" s="935"/>
      <c r="LHZ1" s="935"/>
      <c r="LIA1" s="935"/>
      <c r="LIB1" s="935"/>
      <c r="LIC1" s="935"/>
      <c r="LID1" s="935"/>
      <c r="LIE1" s="935"/>
      <c r="LIF1" s="935"/>
      <c r="LIG1" s="935"/>
      <c r="LIH1" s="935"/>
      <c r="LII1" s="935"/>
      <c r="LIJ1" s="935"/>
      <c r="LIK1" s="935"/>
      <c r="LIL1" s="935"/>
      <c r="LIM1" s="935"/>
      <c r="LIN1" s="935"/>
      <c r="LIO1" s="935"/>
      <c r="LIP1" s="935"/>
      <c r="LIQ1" s="935"/>
      <c r="LIR1" s="935"/>
      <c r="LIS1" s="935"/>
      <c r="LIT1" s="935"/>
      <c r="LIU1" s="935"/>
      <c r="LIV1" s="935"/>
      <c r="LIW1" s="935"/>
      <c r="LIX1" s="935"/>
      <c r="LIY1" s="935"/>
      <c r="LIZ1" s="935"/>
      <c r="LJA1" s="935"/>
      <c r="LJB1" s="935"/>
      <c r="LJC1" s="935"/>
      <c r="LJD1" s="935"/>
      <c r="LJE1" s="935"/>
      <c r="LJF1" s="935"/>
      <c r="LJG1" s="935"/>
      <c r="LJH1" s="935"/>
      <c r="LJI1" s="935"/>
      <c r="LJJ1" s="935"/>
      <c r="LJK1" s="935"/>
      <c r="LJL1" s="935"/>
      <c r="LJM1" s="935"/>
      <c r="LJN1" s="935"/>
      <c r="LJO1" s="935"/>
      <c r="LJP1" s="935"/>
      <c r="LJQ1" s="935"/>
      <c r="LJR1" s="935"/>
      <c r="LJS1" s="935"/>
      <c r="LJT1" s="935"/>
      <c r="LJU1" s="935"/>
      <c r="LJV1" s="935"/>
      <c r="LJW1" s="935"/>
      <c r="LJX1" s="935"/>
      <c r="LJY1" s="935"/>
      <c r="LJZ1" s="935"/>
      <c r="LKA1" s="935"/>
      <c r="LKB1" s="935"/>
      <c r="LKC1" s="935"/>
      <c r="LKD1" s="935"/>
      <c r="LKE1" s="935"/>
      <c r="LKF1" s="935"/>
      <c r="LKG1" s="935"/>
      <c r="LKH1" s="935"/>
      <c r="LKI1" s="935"/>
      <c r="LKJ1" s="935"/>
      <c r="LKK1" s="935"/>
      <c r="LKL1" s="935"/>
      <c r="LKM1" s="935"/>
      <c r="LKN1" s="935"/>
      <c r="LKO1" s="935"/>
      <c r="LKP1" s="935"/>
      <c r="LKQ1" s="935"/>
      <c r="LKR1" s="935"/>
      <c r="LKS1" s="935"/>
      <c r="LKT1" s="935"/>
      <c r="LKU1" s="935"/>
      <c r="LKV1" s="935"/>
      <c r="LKW1" s="935"/>
      <c r="LKX1" s="935"/>
      <c r="LKY1" s="935"/>
      <c r="LKZ1" s="935"/>
      <c r="LLA1" s="935"/>
      <c r="LLB1" s="935"/>
      <c r="LLC1" s="935"/>
      <c r="LLD1" s="935"/>
      <c r="LLE1" s="935"/>
      <c r="LLF1" s="935"/>
      <c r="LLG1" s="935"/>
      <c r="LLH1" s="935"/>
      <c r="LLI1" s="935"/>
      <c r="LLJ1" s="935"/>
      <c r="LLK1" s="935"/>
      <c r="LLL1" s="935"/>
      <c r="LLM1" s="935"/>
      <c r="LLN1" s="935"/>
      <c r="LLO1" s="935"/>
      <c r="LLP1" s="935"/>
      <c r="LLQ1" s="935"/>
      <c r="LLR1" s="935"/>
      <c r="LLS1" s="935"/>
      <c r="LLT1" s="935"/>
      <c r="LLU1" s="935"/>
      <c r="LLV1" s="935"/>
      <c r="LLW1" s="935"/>
      <c r="LLX1" s="935"/>
      <c r="LLY1" s="935"/>
      <c r="LLZ1" s="935"/>
      <c r="LMA1" s="935"/>
      <c r="LMB1" s="935"/>
      <c r="LMC1" s="935"/>
      <c r="LMD1" s="935"/>
      <c r="LME1" s="935"/>
      <c r="LMF1" s="935"/>
      <c r="LMG1" s="935"/>
      <c r="LMH1" s="935"/>
      <c r="LMI1" s="935"/>
      <c r="LMJ1" s="935"/>
      <c r="LMK1" s="935"/>
      <c r="LML1" s="935"/>
      <c r="LMM1" s="935"/>
      <c r="LMN1" s="935"/>
      <c r="LMO1" s="935"/>
      <c r="LMP1" s="935"/>
      <c r="LMQ1" s="935"/>
      <c r="LMR1" s="935"/>
      <c r="LMS1" s="935"/>
      <c r="LMT1" s="935"/>
      <c r="LMU1" s="935"/>
      <c r="LMV1" s="935"/>
      <c r="LMW1" s="935"/>
      <c r="LMX1" s="935"/>
      <c r="LMY1" s="935"/>
      <c r="LMZ1" s="935"/>
      <c r="LNA1" s="935"/>
      <c r="LNB1" s="935"/>
      <c r="LNC1" s="935"/>
      <c r="LND1" s="935"/>
      <c r="LNE1" s="935"/>
      <c r="LNF1" s="935"/>
      <c r="LNG1" s="935"/>
      <c r="LNH1" s="935"/>
      <c r="LNI1" s="935"/>
      <c r="LNJ1" s="935"/>
      <c r="LNK1" s="935"/>
      <c r="LNL1" s="935"/>
      <c r="LNM1" s="935"/>
      <c r="LNN1" s="935"/>
      <c r="LNO1" s="935"/>
      <c r="LNP1" s="935"/>
      <c r="LNQ1" s="935"/>
      <c r="LNR1" s="935"/>
      <c r="LNS1" s="935"/>
      <c r="LNT1" s="935"/>
      <c r="LNU1" s="935"/>
      <c r="LNV1" s="935"/>
      <c r="LNW1" s="935"/>
      <c r="LNX1" s="935"/>
      <c r="LNY1" s="935"/>
      <c r="LNZ1" s="935"/>
      <c r="LOA1" s="935"/>
      <c r="LOB1" s="935"/>
      <c r="LOC1" s="935"/>
      <c r="LOD1" s="935"/>
      <c r="LOE1" s="935"/>
      <c r="LOF1" s="935"/>
      <c r="LOG1" s="935"/>
      <c r="LOH1" s="935"/>
      <c r="LOI1" s="935"/>
      <c r="LOJ1" s="935"/>
      <c r="LOK1" s="935"/>
      <c r="LOL1" s="935"/>
      <c r="LOM1" s="935"/>
      <c r="LON1" s="935"/>
      <c r="LOO1" s="935"/>
      <c r="LOP1" s="935"/>
      <c r="LOQ1" s="935"/>
      <c r="LOR1" s="935"/>
      <c r="LOS1" s="935"/>
      <c r="LOT1" s="935"/>
      <c r="LOU1" s="935"/>
      <c r="LOV1" s="935"/>
      <c r="LOW1" s="935"/>
      <c r="LOX1" s="935"/>
      <c r="LOY1" s="935"/>
      <c r="LOZ1" s="935"/>
      <c r="LPA1" s="935"/>
      <c r="LPB1" s="935"/>
      <c r="LPC1" s="935"/>
      <c r="LPD1" s="935"/>
      <c r="LPE1" s="935"/>
      <c r="LPF1" s="935"/>
      <c r="LPG1" s="935"/>
      <c r="LPH1" s="935"/>
      <c r="LPI1" s="935"/>
      <c r="LPJ1" s="935"/>
      <c r="LPK1" s="935"/>
      <c r="LPL1" s="935"/>
      <c r="LPM1" s="935"/>
      <c r="LPN1" s="935"/>
      <c r="LPO1" s="935"/>
      <c r="LPP1" s="935"/>
      <c r="LPQ1" s="935"/>
      <c r="LPR1" s="935"/>
      <c r="LPS1" s="935"/>
      <c r="LPT1" s="935"/>
      <c r="LPU1" s="935"/>
      <c r="LPV1" s="935"/>
      <c r="LPW1" s="935"/>
      <c r="LPX1" s="935"/>
      <c r="LPY1" s="935"/>
      <c r="LPZ1" s="935"/>
      <c r="LQA1" s="935"/>
      <c r="LQB1" s="935"/>
      <c r="LQC1" s="935"/>
      <c r="LQD1" s="935"/>
      <c r="LQE1" s="935"/>
      <c r="LQF1" s="935"/>
      <c r="LQG1" s="935"/>
      <c r="LQH1" s="935"/>
      <c r="LQI1" s="935"/>
      <c r="LQJ1" s="935"/>
      <c r="LQK1" s="935"/>
      <c r="LQL1" s="935"/>
      <c r="LQM1" s="935"/>
      <c r="LQN1" s="935"/>
      <c r="LQO1" s="935"/>
      <c r="LQP1" s="935"/>
      <c r="LQQ1" s="935"/>
      <c r="LQR1" s="935"/>
      <c r="LQS1" s="935"/>
      <c r="LQT1" s="935"/>
      <c r="LQU1" s="935"/>
      <c r="LQV1" s="935"/>
      <c r="LQW1" s="935"/>
      <c r="LQX1" s="935"/>
      <c r="LQY1" s="935"/>
      <c r="LQZ1" s="935"/>
      <c r="LRA1" s="935"/>
      <c r="LRB1" s="935"/>
      <c r="LRC1" s="935"/>
      <c r="LRD1" s="935"/>
      <c r="LRE1" s="935"/>
      <c r="LRF1" s="935"/>
      <c r="LRG1" s="935"/>
      <c r="LRH1" s="935"/>
      <c r="LRI1" s="935"/>
      <c r="LRJ1" s="935"/>
      <c r="LRK1" s="935"/>
      <c r="LRL1" s="935"/>
      <c r="LRM1" s="935"/>
      <c r="LRN1" s="935"/>
      <c r="LRO1" s="935"/>
      <c r="LRP1" s="935"/>
      <c r="LRQ1" s="935"/>
      <c r="LRR1" s="935"/>
      <c r="LRS1" s="935"/>
      <c r="LRT1" s="935"/>
      <c r="LRU1" s="935"/>
      <c r="LRV1" s="935"/>
      <c r="LRW1" s="935"/>
      <c r="LRX1" s="935"/>
      <c r="LRY1" s="935"/>
      <c r="LRZ1" s="935"/>
      <c r="LSA1" s="935"/>
      <c r="LSB1" s="935"/>
      <c r="LSC1" s="935"/>
      <c r="LSD1" s="935"/>
      <c r="LSE1" s="935"/>
      <c r="LSF1" s="935"/>
      <c r="LSG1" s="935"/>
      <c r="LSH1" s="935"/>
      <c r="LSI1" s="935"/>
      <c r="LSJ1" s="935"/>
      <c r="LSK1" s="935"/>
      <c r="LSL1" s="935"/>
      <c r="LSM1" s="935"/>
      <c r="LSN1" s="935"/>
      <c r="LSO1" s="935"/>
      <c r="LSP1" s="935"/>
      <c r="LSQ1" s="935"/>
      <c r="LSR1" s="935"/>
      <c r="LSS1" s="935"/>
      <c r="LST1" s="935"/>
      <c r="LSU1" s="935"/>
      <c r="LSV1" s="935"/>
      <c r="LSW1" s="935"/>
      <c r="LSX1" s="935"/>
      <c r="LSY1" s="935"/>
      <c r="LSZ1" s="935"/>
      <c r="LTA1" s="935"/>
      <c r="LTB1" s="935"/>
      <c r="LTC1" s="935"/>
      <c r="LTD1" s="935"/>
      <c r="LTE1" s="935"/>
      <c r="LTF1" s="935"/>
      <c r="LTG1" s="935"/>
      <c r="LTH1" s="935"/>
      <c r="LTI1" s="935"/>
      <c r="LTJ1" s="935"/>
      <c r="LTK1" s="935"/>
      <c r="LTL1" s="935"/>
      <c r="LTM1" s="935"/>
      <c r="LTN1" s="935"/>
      <c r="LTO1" s="935"/>
      <c r="LTP1" s="935"/>
      <c r="LTQ1" s="935"/>
      <c r="LTR1" s="935"/>
      <c r="LTS1" s="935"/>
      <c r="LTT1" s="935"/>
      <c r="LTU1" s="935"/>
      <c r="LTV1" s="935"/>
      <c r="LTW1" s="935"/>
      <c r="LTX1" s="935"/>
      <c r="LTY1" s="935"/>
      <c r="LTZ1" s="935"/>
      <c r="LUA1" s="935"/>
      <c r="LUB1" s="935"/>
      <c r="LUC1" s="935"/>
      <c r="LUD1" s="935"/>
      <c r="LUE1" s="935"/>
      <c r="LUF1" s="935"/>
      <c r="LUG1" s="935"/>
      <c r="LUH1" s="935"/>
      <c r="LUI1" s="935"/>
      <c r="LUJ1" s="935"/>
      <c r="LUK1" s="935"/>
      <c r="LUL1" s="935"/>
      <c r="LUM1" s="935"/>
      <c r="LUN1" s="935"/>
      <c r="LUO1" s="935"/>
      <c r="LUP1" s="935"/>
      <c r="LUQ1" s="935"/>
      <c r="LUR1" s="935"/>
      <c r="LUS1" s="935"/>
      <c r="LUT1" s="935"/>
      <c r="LUU1" s="935"/>
      <c r="LUV1" s="935"/>
      <c r="LUW1" s="935"/>
      <c r="LUX1" s="935"/>
      <c r="LUY1" s="935"/>
      <c r="LUZ1" s="935"/>
      <c r="LVA1" s="935"/>
      <c r="LVB1" s="935"/>
      <c r="LVC1" s="935"/>
      <c r="LVD1" s="935"/>
      <c r="LVE1" s="935"/>
      <c r="LVF1" s="935"/>
      <c r="LVG1" s="935"/>
      <c r="LVH1" s="935"/>
      <c r="LVI1" s="935"/>
      <c r="LVJ1" s="935"/>
      <c r="LVK1" s="935"/>
      <c r="LVL1" s="935"/>
      <c r="LVM1" s="935"/>
      <c r="LVN1" s="935"/>
      <c r="LVO1" s="935"/>
      <c r="LVP1" s="935"/>
      <c r="LVQ1" s="935"/>
      <c r="LVR1" s="935"/>
      <c r="LVS1" s="935"/>
      <c r="LVT1" s="935"/>
      <c r="LVU1" s="935"/>
      <c r="LVV1" s="935"/>
      <c r="LVW1" s="935"/>
      <c r="LVX1" s="935"/>
      <c r="LVY1" s="935"/>
      <c r="LVZ1" s="935"/>
      <c r="LWA1" s="935"/>
      <c r="LWB1" s="935"/>
      <c r="LWC1" s="935"/>
      <c r="LWD1" s="935"/>
      <c r="LWE1" s="935"/>
      <c r="LWF1" s="935"/>
      <c r="LWG1" s="935"/>
      <c r="LWH1" s="935"/>
      <c r="LWI1" s="935"/>
      <c r="LWJ1" s="935"/>
      <c r="LWK1" s="935"/>
      <c r="LWL1" s="935"/>
      <c r="LWM1" s="935"/>
      <c r="LWN1" s="935"/>
      <c r="LWO1" s="935"/>
      <c r="LWP1" s="935"/>
      <c r="LWQ1" s="935"/>
      <c r="LWR1" s="935"/>
      <c r="LWS1" s="935"/>
      <c r="LWT1" s="935"/>
      <c r="LWU1" s="935"/>
      <c r="LWV1" s="935"/>
      <c r="LWW1" s="935"/>
      <c r="LWX1" s="935"/>
      <c r="LWY1" s="935"/>
      <c r="LWZ1" s="935"/>
      <c r="LXA1" s="935"/>
      <c r="LXB1" s="935"/>
      <c r="LXC1" s="935"/>
      <c r="LXD1" s="935"/>
      <c r="LXE1" s="935"/>
      <c r="LXF1" s="935"/>
      <c r="LXG1" s="935"/>
      <c r="LXH1" s="935"/>
      <c r="LXI1" s="935"/>
      <c r="LXJ1" s="935"/>
      <c r="LXK1" s="935"/>
      <c r="LXL1" s="935"/>
      <c r="LXM1" s="935"/>
      <c r="LXN1" s="935"/>
      <c r="LXO1" s="935"/>
      <c r="LXP1" s="935"/>
      <c r="LXQ1" s="935"/>
      <c r="LXR1" s="935"/>
      <c r="LXS1" s="935"/>
      <c r="LXT1" s="935"/>
      <c r="LXU1" s="935"/>
      <c r="LXV1" s="935"/>
      <c r="LXW1" s="935"/>
      <c r="LXX1" s="935"/>
      <c r="LXY1" s="935"/>
      <c r="LXZ1" s="935"/>
      <c r="LYA1" s="935"/>
      <c r="LYB1" s="935"/>
      <c r="LYC1" s="935"/>
      <c r="LYD1" s="935"/>
      <c r="LYE1" s="935"/>
      <c r="LYF1" s="935"/>
      <c r="LYG1" s="935"/>
      <c r="LYH1" s="935"/>
      <c r="LYI1" s="935"/>
      <c r="LYJ1" s="935"/>
      <c r="LYK1" s="935"/>
      <c r="LYL1" s="935"/>
      <c r="LYM1" s="935"/>
      <c r="LYN1" s="935"/>
      <c r="LYO1" s="935"/>
      <c r="LYP1" s="935"/>
      <c r="LYQ1" s="935"/>
      <c r="LYR1" s="935"/>
      <c r="LYS1" s="935"/>
      <c r="LYT1" s="935"/>
      <c r="LYU1" s="935"/>
      <c r="LYV1" s="935"/>
      <c r="LYW1" s="935"/>
      <c r="LYX1" s="935"/>
      <c r="LYY1" s="935"/>
      <c r="LYZ1" s="935"/>
      <c r="LZA1" s="935"/>
      <c r="LZB1" s="935"/>
      <c r="LZC1" s="935"/>
      <c r="LZD1" s="935"/>
      <c r="LZE1" s="935"/>
      <c r="LZF1" s="935"/>
      <c r="LZG1" s="935"/>
      <c r="LZH1" s="935"/>
      <c r="LZI1" s="935"/>
      <c r="LZJ1" s="935"/>
      <c r="LZK1" s="935"/>
      <c r="LZL1" s="935"/>
      <c r="LZM1" s="935"/>
      <c r="LZN1" s="935"/>
      <c r="LZO1" s="935"/>
      <c r="LZP1" s="935"/>
      <c r="LZQ1" s="935"/>
      <c r="LZR1" s="935"/>
      <c r="LZS1" s="935"/>
      <c r="LZT1" s="935"/>
      <c r="LZU1" s="935"/>
      <c r="LZV1" s="935"/>
      <c r="LZW1" s="935"/>
      <c r="LZX1" s="935"/>
      <c r="LZY1" s="935"/>
      <c r="LZZ1" s="935"/>
      <c r="MAA1" s="935"/>
      <c r="MAB1" s="935"/>
      <c r="MAC1" s="935"/>
      <c r="MAD1" s="935"/>
      <c r="MAE1" s="935"/>
      <c r="MAF1" s="935"/>
      <c r="MAG1" s="935"/>
      <c r="MAH1" s="935"/>
      <c r="MAI1" s="935"/>
      <c r="MAJ1" s="935"/>
      <c r="MAK1" s="935"/>
      <c r="MAL1" s="935"/>
      <c r="MAM1" s="935"/>
      <c r="MAN1" s="935"/>
      <c r="MAO1" s="935"/>
      <c r="MAP1" s="935"/>
      <c r="MAQ1" s="935"/>
      <c r="MAR1" s="935"/>
      <c r="MAS1" s="935"/>
      <c r="MAT1" s="935"/>
      <c r="MAU1" s="935"/>
      <c r="MAV1" s="935"/>
      <c r="MAW1" s="935"/>
      <c r="MAX1" s="935"/>
      <c r="MAY1" s="935"/>
      <c r="MAZ1" s="935"/>
      <c r="MBA1" s="935"/>
      <c r="MBB1" s="935"/>
      <c r="MBC1" s="935"/>
      <c r="MBD1" s="935"/>
      <c r="MBE1" s="935"/>
      <c r="MBF1" s="935"/>
      <c r="MBG1" s="935"/>
      <c r="MBH1" s="935"/>
      <c r="MBI1" s="935"/>
      <c r="MBJ1" s="935"/>
      <c r="MBK1" s="935"/>
      <c r="MBL1" s="935"/>
      <c r="MBM1" s="935"/>
      <c r="MBN1" s="935"/>
      <c r="MBO1" s="935"/>
      <c r="MBP1" s="935"/>
      <c r="MBQ1" s="935"/>
      <c r="MBR1" s="935"/>
      <c r="MBS1" s="935"/>
      <c r="MBT1" s="935"/>
      <c r="MBU1" s="935"/>
      <c r="MBV1" s="935"/>
      <c r="MBW1" s="935"/>
      <c r="MBX1" s="935"/>
      <c r="MBY1" s="935"/>
      <c r="MBZ1" s="935"/>
      <c r="MCA1" s="935"/>
      <c r="MCB1" s="935"/>
      <c r="MCC1" s="935"/>
      <c r="MCD1" s="935"/>
      <c r="MCE1" s="935"/>
      <c r="MCF1" s="935"/>
      <c r="MCG1" s="935"/>
      <c r="MCH1" s="935"/>
      <c r="MCI1" s="935"/>
      <c r="MCJ1" s="935"/>
      <c r="MCK1" s="935"/>
      <c r="MCL1" s="935"/>
      <c r="MCM1" s="935"/>
      <c r="MCN1" s="935"/>
      <c r="MCO1" s="935"/>
      <c r="MCP1" s="935"/>
      <c r="MCQ1" s="935"/>
      <c r="MCR1" s="935"/>
      <c r="MCS1" s="935"/>
      <c r="MCT1" s="935"/>
      <c r="MCU1" s="935"/>
      <c r="MCV1" s="935"/>
      <c r="MCW1" s="935"/>
      <c r="MCX1" s="935"/>
      <c r="MCY1" s="935"/>
      <c r="MCZ1" s="935"/>
      <c r="MDA1" s="935"/>
      <c r="MDB1" s="935"/>
      <c r="MDC1" s="935"/>
      <c r="MDD1" s="935"/>
      <c r="MDE1" s="935"/>
      <c r="MDF1" s="935"/>
      <c r="MDG1" s="935"/>
      <c r="MDH1" s="935"/>
      <c r="MDI1" s="935"/>
      <c r="MDJ1" s="935"/>
      <c r="MDK1" s="935"/>
      <c r="MDL1" s="935"/>
      <c r="MDM1" s="935"/>
      <c r="MDN1" s="935"/>
      <c r="MDO1" s="935"/>
      <c r="MDP1" s="935"/>
      <c r="MDQ1" s="935"/>
      <c r="MDR1" s="935"/>
      <c r="MDS1" s="935"/>
      <c r="MDT1" s="935"/>
      <c r="MDU1" s="935"/>
      <c r="MDV1" s="935"/>
      <c r="MDW1" s="935"/>
      <c r="MDX1" s="935"/>
      <c r="MDY1" s="935"/>
      <c r="MDZ1" s="935"/>
      <c r="MEA1" s="935"/>
      <c r="MEB1" s="935"/>
      <c r="MEC1" s="935"/>
      <c r="MED1" s="935"/>
      <c r="MEE1" s="935"/>
      <c r="MEF1" s="935"/>
      <c r="MEG1" s="935"/>
      <c r="MEH1" s="935"/>
      <c r="MEI1" s="935"/>
      <c r="MEJ1" s="935"/>
      <c r="MEK1" s="935"/>
      <c r="MEL1" s="935"/>
      <c r="MEM1" s="935"/>
      <c r="MEN1" s="935"/>
      <c r="MEO1" s="935"/>
      <c r="MEP1" s="935"/>
      <c r="MEQ1" s="935"/>
      <c r="MER1" s="935"/>
      <c r="MES1" s="935"/>
      <c r="MET1" s="935"/>
      <c r="MEU1" s="935"/>
      <c r="MEV1" s="935"/>
      <c r="MEW1" s="935"/>
      <c r="MEX1" s="935"/>
      <c r="MEY1" s="935"/>
      <c r="MEZ1" s="935"/>
      <c r="MFA1" s="935"/>
      <c r="MFB1" s="935"/>
      <c r="MFC1" s="935"/>
      <c r="MFD1" s="935"/>
      <c r="MFE1" s="935"/>
      <c r="MFF1" s="935"/>
      <c r="MFG1" s="935"/>
      <c r="MFH1" s="935"/>
      <c r="MFI1" s="935"/>
      <c r="MFJ1" s="935"/>
      <c r="MFK1" s="935"/>
      <c r="MFL1" s="935"/>
      <c r="MFM1" s="935"/>
      <c r="MFN1" s="935"/>
      <c r="MFO1" s="935"/>
      <c r="MFP1" s="935"/>
      <c r="MFQ1" s="935"/>
      <c r="MFR1" s="935"/>
      <c r="MFS1" s="935"/>
      <c r="MFT1" s="935"/>
      <c r="MFU1" s="935"/>
      <c r="MFV1" s="935"/>
      <c r="MFW1" s="935"/>
      <c r="MFX1" s="935"/>
      <c r="MFY1" s="935"/>
      <c r="MFZ1" s="935"/>
      <c r="MGA1" s="935"/>
      <c r="MGB1" s="935"/>
      <c r="MGC1" s="935"/>
      <c r="MGD1" s="935"/>
      <c r="MGE1" s="935"/>
      <c r="MGF1" s="935"/>
      <c r="MGG1" s="935"/>
      <c r="MGH1" s="935"/>
      <c r="MGI1" s="935"/>
      <c r="MGJ1" s="935"/>
      <c r="MGK1" s="935"/>
      <c r="MGL1" s="935"/>
      <c r="MGM1" s="935"/>
      <c r="MGN1" s="935"/>
      <c r="MGO1" s="935"/>
      <c r="MGP1" s="935"/>
      <c r="MGQ1" s="935"/>
      <c r="MGR1" s="935"/>
      <c r="MGS1" s="935"/>
      <c r="MGT1" s="935"/>
      <c r="MGU1" s="935"/>
      <c r="MGV1" s="935"/>
      <c r="MGW1" s="935"/>
      <c r="MGX1" s="935"/>
      <c r="MGY1" s="935"/>
      <c r="MGZ1" s="935"/>
      <c r="MHA1" s="935"/>
      <c r="MHB1" s="935"/>
      <c r="MHC1" s="935"/>
      <c r="MHD1" s="935"/>
      <c r="MHE1" s="935"/>
      <c r="MHF1" s="935"/>
      <c r="MHG1" s="935"/>
      <c r="MHH1" s="935"/>
      <c r="MHI1" s="935"/>
      <c r="MHJ1" s="935"/>
      <c r="MHK1" s="935"/>
      <c r="MHL1" s="935"/>
      <c r="MHM1" s="935"/>
      <c r="MHN1" s="935"/>
      <c r="MHO1" s="935"/>
      <c r="MHP1" s="935"/>
      <c r="MHQ1" s="935"/>
      <c r="MHR1" s="935"/>
      <c r="MHS1" s="935"/>
      <c r="MHT1" s="935"/>
      <c r="MHU1" s="935"/>
      <c r="MHV1" s="935"/>
      <c r="MHW1" s="935"/>
      <c r="MHX1" s="935"/>
      <c r="MHY1" s="935"/>
      <c r="MHZ1" s="935"/>
      <c r="MIA1" s="935"/>
      <c r="MIB1" s="935"/>
      <c r="MIC1" s="935"/>
      <c r="MID1" s="935"/>
      <c r="MIE1" s="935"/>
      <c r="MIF1" s="935"/>
      <c r="MIG1" s="935"/>
      <c r="MIH1" s="935"/>
      <c r="MII1" s="935"/>
      <c r="MIJ1" s="935"/>
      <c r="MIK1" s="935"/>
      <c r="MIL1" s="935"/>
      <c r="MIM1" s="935"/>
      <c r="MIN1" s="935"/>
      <c r="MIO1" s="935"/>
      <c r="MIP1" s="935"/>
      <c r="MIQ1" s="935"/>
      <c r="MIR1" s="935"/>
      <c r="MIS1" s="935"/>
      <c r="MIT1" s="935"/>
      <c r="MIU1" s="935"/>
      <c r="MIV1" s="935"/>
      <c r="MIW1" s="935"/>
      <c r="MIX1" s="935"/>
      <c r="MIY1" s="935"/>
      <c r="MIZ1" s="935"/>
      <c r="MJA1" s="935"/>
      <c r="MJB1" s="935"/>
      <c r="MJC1" s="935"/>
      <c r="MJD1" s="935"/>
      <c r="MJE1" s="935"/>
      <c r="MJF1" s="935"/>
      <c r="MJG1" s="935"/>
      <c r="MJH1" s="935"/>
      <c r="MJI1" s="935"/>
      <c r="MJJ1" s="935"/>
      <c r="MJK1" s="935"/>
      <c r="MJL1" s="935"/>
      <c r="MJM1" s="935"/>
      <c r="MJN1" s="935"/>
      <c r="MJO1" s="935"/>
      <c r="MJP1" s="935"/>
      <c r="MJQ1" s="935"/>
      <c r="MJR1" s="935"/>
      <c r="MJS1" s="935"/>
      <c r="MJT1" s="935"/>
      <c r="MJU1" s="935"/>
      <c r="MJV1" s="935"/>
      <c r="MJW1" s="935"/>
      <c r="MJX1" s="935"/>
      <c r="MJY1" s="935"/>
      <c r="MJZ1" s="935"/>
      <c r="MKA1" s="935"/>
      <c r="MKB1" s="935"/>
      <c r="MKC1" s="935"/>
      <c r="MKD1" s="935"/>
      <c r="MKE1" s="935"/>
      <c r="MKF1" s="935"/>
      <c r="MKG1" s="935"/>
      <c r="MKH1" s="935"/>
      <c r="MKI1" s="935"/>
      <c r="MKJ1" s="935"/>
      <c r="MKK1" s="935"/>
      <c r="MKL1" s="935"/>
      <c r="MKM1" s="935"/>
      <c r="MKN1" s="935"/>
      <c r="MKO1" s="935"/>
      <c r="MKP1" s="935"/>
      <c r="MKQ1" s="935"/>
      <c r="MKR1" s="935"/>
      <c r="MKS1" s="935"/>
      <c r="MKT1" s="935"/>
      <c r="MKU1" s="935"/>
      <c r="MKV1" s="935"/>
      <c r="MKW1" s="935"/>
      <c r="MKX1" s="935"/>
      <c r="MKY1" s="935"/>
      <c r="MKZ1" s="935"/>
      <c r="MLA1" s="935"/>
      <c r="MLB1" s="935"/>
      <c r="MLC1" s="935"/>
      <c r="MLD1" s="935"/>
      <c r="MLE1" s="935"/>
      <c r="MLF1" s="935"/>
      <c r="MLG1" s="935"/>
      <c r="MLH1" s="935"/>
      <c r="MLI1" s="935"/>
      <c r="MLJ1" s="935"/>
      <c r="MLK1" s="935"/>
      <c r="MLL1" s="935"/>
      <c r="MLM1" s="935"/>
      <c r="MLN1" s="935"/>
      <c r="MLO1" s="935"/>
      <c r="MLP1" s="935"/>
      <c r="MLQ1" s="935"/>
      <c r="MLR1" s="935"/>
      <c r="MLS1" s="935"/>
      <c r="MLT1" s="935"/>
      <c r="MLU1" s="935"/>
      <c r="MLV1" s="935"/>
      <c r="MLW1" s="935"/>
      <c r="MLX1" s="935"/>
      <c r="MLY1" s="935"/>
      <c r="MLZ1" s="935"/>
      <c r="MMA1" s="935"/>
      <c r="MMB1" s="935"/>
      <c r="MMC1" s="935"/>
      <c r="MMD1" s="935"/>
      <c r="MME1" s="935"/>
      <c r="MMF1" s="935"/>
      <c r="MMG1" s="935"/>
      <c r="MMH1" s="935"/>
      <c r="MMI1" s="935"/>
      <c r="MMJ1" s="935"/>
      <c r="MMK1" s="935"/>
      <c r="MML1" s="935"/>
      <c r="MMM1" s="935"/>
      <c r="MMN1" s="935"/>
      <c r="MMO1" s="935"/>
      <c r="MMP1" s="935"/>
      <c r="MMQ1" s="935"/>
      <c r="MMR1" s="935"/>
      <c r="MMS1" s="935"/>
      <c r="MMT1" s="935"/>
      <c r="MMU1" s="935"/>
      <c r="MMV1" s="935"/>
      <c r="MMW1" s="935"/>
      <c r="MMX1" s="935"/>
      <c r="MMY1" s="935"/>
      <c r="MMZ1" s="935"/>
      <c r="MNA1" s="935"/>
      <c r="MNB1" s="935"/>
      <c r="MNC1" s="935"/>
      <c r="MND1" s="935"/>
      <c r="MNE1" s="935"/>
      <c r="MNF1" s="935"/>
      <c r="MNG1" s="935"/>
      <c r="MNH1" s="935"/>
      <c r="MNI1" s="935"/>
      <c r="MNJ1" s="935"/>
      <c r="MNK1" s="935"/>
      <c r="MNL1" s="935"/>
      <c r="MNM1" s="935"/>
      <c r="MNN1" s="935"/>
      <c r="MNO1" s="935"/>
      <c r="MNP1" s="935"/>
      <c r="MNQ1" s="935"/>
      <c r="MNR1" s="935"/>
      <c r="MNS1" s="935"/>
      <c r="MNT1" s="935"/>
      <c r="MNU1" s="935"/>
      <c r="MNV1" s="935"/>
      <c r="MNW1" s="935"/>
      <c r="MNX1" s="935"/>
      <c r="MNY1" s="935"/>
      <c r="MNZ1" s="935"/>
      <c r="MOA1" s="935"/>
      <c r="MOB1" s="935"/>
      <c r="MOC1" s="935"/>
      <c r="MOD1" s="935"/>
      <c r="MOE1" s="935"/>
      <c r="MOF1" s="935"/>
      <c r="MOG1" s="935"/>
      <c r="MOH1" s="935"/>
      <c r="MOI1" s="935"/>
      <c r="MOJ1" s="935"/>
      <c r="MOK1" s="935"/>
      <c r="MOL1" s="935"/>
      <c r="MOM1" s="935"/>
      <c r="MON1" s="935"/>
      <c r="MOO1" s="935"/>
      <c r="MOP1" s="935"/>
      <c r="MOQ1" s="935"/>
      <c r="MOR1" s="935"/>
      <c r="MOS1" s="935"/>
      <c r="MOT1" s="935"/>
      <c r="MOU1" s="935"/>
      <c r="MOV1" s="935"/>
      <c r="MOW1" s="935"/>
      <c r="MOX1" s="935"/>
      <c r="MOY1" s="935"/>
      <c r="MOZ1" s="935"/>
      <c r="MPA1" s="935"/>
      <c r="MPB1" s="935"/>
      <c r="MPC1" s="935"/>
      <c r="MPD1" s="935"/>
      <c r="MPE1" s="935"/>
      <c r="MPF1" s="935"/>
      <c r="MPG1" s="935"/>
      <c r="MPH1" s="935"/>
      <c r="MPI1" s="935"/>
      <c r="MPJ1" s="935"/>
      <c r="MPK1" s="935"/>
      <c r="MPL1" s="935"/>
      <c r="MPM1" s="935"/>
      <c r="MPN1" s="935"/>
      <c r="MPO1" s="935"/>
      <c r="MPP1" s="935"/>
      <c r="MPQ1" s="935"/>
      <c r="MPR1" s="935"/>
      <c r="MPS1" s="935"/>
      <c r="MPT1" s="935"/>
      <c r="MPU1" s="935"/>
      <c r="MPV1" s="935"/>
      <c r="MPW1" s="935"/>
      <c r="MPX1" s="935"/>
      <c r="MPY1" s="935"/>
      <c r="MPZ1" s="935"/>
      <c r="MQA1" s="935"/>
      <c r="MQB1" s="935"/>
      <c r="MQC1" s="935"/>
      <c r="MQD1" s="935"/>
      <c r="MQE1" s="935"/>
      <c r="MQF1" s="935"/>
      <c r="MQG1" s="935"/>
      <c r="MQH1" s="935"/>
      <c r="MQI1" s="935"/>
      <c r="MQJ1" s="935"/>
      <c r="MQK1" s="935"/>
      <c r="MQL1" s="935"/>
      <c r="MQM1" s="935"/>
      <c r="MQN1" s="935"/>
      <c r="MQO1" s="935"/>
      <c r="MQP1" s="935"/>
      <c r="MQQ1" s="935"/>
      <c r="MQR1" s="935"/>
      <c r="MQS1" s="935"/>
      <c r="MQT1" s="935"/>
      <c r="MQU1" s="935"/>
      <c r="MQV1" s="935"/>
      <c r="MQW1" s="935"/>
      <c r="MQX1" s="935"/>
      <c r="MQY1" s="935"/>
      <c r="MQZ1" s="935"/>
      <c r="MRA1" s="935"/>
      <c r="MRB1" s="935"/>
      <c r="MRC1" s="935"/>
      <c r="MRD1" s="935"/>
      <c r="MRE1" s="935"/>
      <c r="MRF1" s="935"/>
      <c r="MRG1" s="935"/>
      <c r="MRH1" s="935"/>
      <c r="MRI1" s="935"/>
      <c r="MRJ1" s="935"/>
      <c r="MRK1" s="935"/>
      <c r="MRL1" s="935"/>
      <c r="MRM1" s="935"/>
      <c r="MRN1" s="935"/>
      <c r="MRO1" s="935"/>
      <c r="MRP1" s="935"/>
      <c r="MRQ1" s="935"/>
      <c r="MRR1" s="935"/>
      <c r="MRS1" s="935"/>
      <c r="MRT1" s="935"/>
      <c r="MRU1" s="935"/>
      <c r="MRV1" s="935"/>
      <c r="MRW1" s="935"/>
      <c r="MRX1" s="935"/>
      <c r="MRY1" s="935"/>
      <c r="MRZ1" s="935"/>
      <c r="MSA1" s="935"/>
      <c r="MSB1" s="935"/>
      <c r="MSC1" s="935"/>
      <c r="MSD1" s="935"/>
      <c r="MSE1" s="935"/>
      <c r="MSF1" s="935"/>
      <c r="MSG1" s="935"/>
      <c r="MSH1" s="935"/>
      <c r="MSI1" s="935"/>
      <c r="MSJ1" s="935"/>
      <c r="MSK1" s="935"/>
      <c r="MSL1" s="935"/>
      <c r="MSM1" s="935"/>
      <c r="MSN1" s="935"/>
      <c r="MSO1" s="935"/>
      <c r="MSP1" s="935"/>
      <c r="MSQ1" s="935"/>
      <c r="MSR1" s="935"/>
      <c r="MSS1" s="935"/>
      <c r="MST1" s="935"/>
      <c r="MSU1" s="935"/>
      <c r="MSV1" s="935"/>
      <c r="MSW1" s="935"/>
      <c r="MSX1" s="935"/>
      <c r="MSY1" s="935"/>
      <c r="MSZ1" s="935"/>
      <c r="MTA1" s="935"/>
      <c r="MTB1" s="935"/>
      <c r="MTC1" s="935"/>
      <c r="MTD1" s="935"/>
      <c r="MTE1" s="935"/>
      <c r="MTF1" s="935"/>
      <c r="MTG1" s="935"/>
      <c r="MTH1" s="935"/>
      <c r="MTI1" s="935"/>
      <c r="MTJ1" s="935"/>
      <c r="MTK1" s="935"/>
      <c r="MTL1" s="935"/>
      <c r="MTM1" s="935"/>
      <c r="MTN1" s="935"/>
      <c r="MTO1" s="935"/>
      <c r="MTP1" s="935"/>
      <c r="MTQ1" s="935"/>
      <c r="MTR1" s="935"/>
      <c r="MTS1" s="935"/>
      <c r="MTT1" s="935"/>
      <c r="MTU1" s="935"/>
      <c r="MTV1" s="935"/>
      <c r="MTW1" s="935"/>
      <c r="MTX1" s="935"/>
      <c r="MTY1" s="935"/>
      <c r="MTZ1" s="935"/>
      <c r="MUA1" s="935"/>
      <c r="MUB1" s="935"/>
      <c r="MUC1" s="935"/>
      <c r="MUD1" s="935"/>
      <c r="MUE1" s="935"/>
      <c r="MUF1" s="935"/>
      <c r="MUG1" s="935"/>
      <c r="MUH1" s="935"/>
      <c r="MUI1" s="935"/>
      <c r="MUJ1" s="935"/>
      <c r="MUK1" s="935"/>
      <c r="MUL1" s="935"/>
      <c r="MUM1" s="935"/>
      <c r="MUN1" s="935"/>
      <c r="MUO1" s="935"/>
      <c r="MUP1" s="935"/>
      <c r="MUQ1" s="935"/>
      <c r="MUR1" s="935"/>
      <c r="MUS1" s="935"/>
      <c r="MUT1" s="935"/>
      <c r="MUU1" s="935"/>
      <c r="MUV1" s="935"/>
      <c r="MUW1" s="935"/>
      <c r="MUX1" s="935"/>
      <c r="MUY1" s="935"/>
      <c r="MUZ1" s="935"/>
      <c r="MVA1" s="935"/>
      <c r="MVB1" s="935"/>
      <c r="MVC1" s="935"/>
      <c r="MVD1" s="935"/>
      <c r="MVE1" s="935"/>
      <c r="MVF1" s="935"/>
      <c r="MVG1" s="935"/>
      <c r="MVH1" s="935"/>
      <c r="MVI1" s="935"/>
      <c r="MVJ1" s="935"/>
      <c r="MVK1" s="935"/>
      <c r="MVL1" s="935"/>
      <c r="MVM1" s="935"/>
      <c r="MVN1" s="935"/>
      <c r="MVO1" s="935"/>
      <c r="MVP1" s="935"/>
      <c r="MVQ1" s="935"/>
      <c r="MVR1" s="935"/>
      <c r="MVS1" s="935"/>
      <c r="MVT1" s="935"/>
      <c r="MVU1" s="935"/>
      <c r="MVV1" s="935"/>
      <c r="MVW1" s="935"/>
      <c r="MVX1" s="935"/>
      <c r="MVY1" s="935"/>
      <c r="MVZ1" s="935"/>
      <c r="MWA1" s="935"/>
      <c r="MWB1" s="935"/>
      <c r="MWC1" s="935"/>
      <c r="MWD1" s="935"/>
      <c r="MWE1" s="935"/>
      <c r="MWF1" s="935"/>
      <c r="MWG1" s="935"/>
      <c r="MWH1" s="935"/>
      <c r="MWI1" s="935"/>
      <c r="MWJ1" s="935"/>
      <c r="MWK1" s="935"/>
      <c r="MWL1" s="935"/>
      <c r="MWM1" s="935"/>
      <c r="MWN1" s="935"/>
      <c r="MWO1" s="935"/>
      <c r="MWP1" s="935"/>
      <c r="MWQ1" s="935"/>
      <c r="MWR1" s="935"/>
      <c r="MWS1" s="935"/>
      <c r="MWT1" s="935"/>
      <c r="MWU1" s="935"/>
      <c r="MWV1" s="935"/>
      <c r="MWW1" s="935"/>
      <c r="MWX1" s="935"/>
      <c r="MWY1" s="935"/>
      <c r="MWZ1" s="935"/>
      <c r="MXA1" s="935"/>
      <c r="MXB1" s="935"/>
      <c r="MXC1" s="935"/>
      <c r="MXD1" s="935"/>
      <c r="MXE1" s="935"/>
      <c r="MXF1" s="935"/>
      <c r="MXG1" s="935"/>
      <c r="MXH1" s="935"/>
      <c r="MXI1" s="935"/>
      <c r="MXJ1" s="935"/>
      <c r="MXK1" s="935"/>
      <c r="MXL1" s="935"/>
      <c r="MXM1" s="935"/>
      <c r="MXN1" s="935"/>
      <c r="MXO1" s="935"/>
      <c r="MXP1" s="935"/>
      <c r="MXQ1" s="935"/>
      <c r="MXR1" s="935"/>
      <c r="MXS1" s="935"/>
      <c r="MXT1" s="935"/>
      <c r="MXU1" s="935"/>
      <c r="MXV1" s="935"/>
      <c r="MXW1" s="935"/>
      <c r="MXX1" s="935"/>
      <c r="MXY1" s="935"/>
      <c r="MXZ1" s="935"/>
      <c r="MYA1" s="935"/>
      <c r="MYB1" s="935"/>
      <c r="MYC1" s="935"/>
      <c r="MYD1" s="935"/>
      <c r="MYE1" s="935"/>
      <c r="MYF1" s="935"/>
      <c r="MYG1" s="935"/>
      <c r="MYH1" s="935"/>
      <c r="MYI1" s="935"/>
      <c r="MYJ1" s="935"/>
      <c r="MYK1" s="935"/>
      <c r="MYL1" s="935"/>
      <c r="MYM1" s="935"/>
      <c r="MYN1" s="935"/>
      <c r="MYO1" s="935"/>
      <c r="MYP1" s="935"/>
      <c r="MYQ1" s="935"/>
      <c r="MYR1" s="935"/>
      <c r="MYS1" s="935"/>
      <c r="MYT1" s="935"/>
      <c r="MYU1" s="935"/>
      <c r="MYV1" s="935"/>
      <c r="MYW1" s="935"/>
      <c r="MYX1" s="935"/>
      <c r="MYY1" s="935"/>
      <c r="MYZ1" s="935"/>
      <c r="MZA1" s="935"/>
      <c r="MZB1" s="935"/>
      <c r="MZC1" s="935"/>
      <c r="MZD1" s="935"/>
      <c r="MZE1" s="935"/>
      <c r="MZF1" s="935"/>
      <c r="MZG1" s="935"/>
      <c r="MZH1" s="935"/>
      <c r="MZI1" s="935"/>
      <c r="MZJ1" s="935"/>
      <c r="MZK1" s="935"/>
      <c r="MZL1" s="935"/>
      <c r="MZM1" s="935"/>
      <c r="MZN1" s="935"/>
      <c r="MZO1" s="935"/>
      <c r="MZP1" s="935"/>
      <c r="MZQ1" s="935"/>
      <c r="MZR1" s="935"/>
      <c r="MZS1" s="935"/>
      <c r="MZT1" s="935"/>
      <c r="MZU1" s="935"/>
      <c r="MZV1" s="935"/>
      <c r="MZW1" s="935"/>
      <c r="MZX1" s="935"/>
      <c r="MZY1" s="935"/>
      <c r="MZZ1" s="935"/>
      <c r="NAA1" s="935"/>
      <c r="NAB1" s="935"/>
      <c r="NAC1" s="935"/>
      <c r="NAD1" s="935"/>
      <c r="NAE1" s="935"/>
      <c r="NAF1" s="935"/>
      <c r="NAG1" s="935"/>
      <c r="NAH1" s="935"/>
      <c r="NAI1" s="935"/>
      <c r="NAJ1" s="935"/>
      <c r="NAK1" s="935"/>
      <c r="NAL1" s="935"/>
      <c r="NAM1" s="935"/>
      <c r="NAN1" s="935"/>
      <c r="NAO1" s="935"/>
      <c r="NAP1" s="935"/>
      <c r="NAQ1" s="935"/>
      <c r="NAR1" s="935"/>
      <c r="NAS1" s="935"/>
      <c r="NAT1" s="935"/>
      <c r="NAU1" s="935"/>
      <c r="NAV1" s="935"/>
      <c r="NAW1" s="935"/>
      <c r="NAX1" s="935"/>
      <c r="NAY1" s="935"/>
      <c r="NAZ1" s="935"/>
      <c r="NBA1" s="935"/>
      <c r="NBB1" s="935"/>
      <c r="NBC1" s="935"/>
      <c r="NBD1" s="935"/>
      <c r="NBE1" s="935"/>
      <c r="NBF1" s="935"/>
      <c r="NBG1" s="935"/>
      <c r="NBH1" s="935"/>
      <c r="NBI1" s="935"/>
      <c r="NBJ1" s="935"/>
      <c r="NBK1" s="935"/>
      <c r="NBL1" s="935"/>
      <c r="NBM1" s="935"/>
      <c r="NBN1" s="935"/>
      <c r="NBO1" s="935"/>
      <c r="NBP1" s="935"/>
      <c r="NBQ1" s="935"/>
      <c r="NBR1" s="935"/>
      <c r="NBS1" s="935"/>
      <c r="NBT1" s="935"/>
      <c r="NBU1" s="935"/>
      <c r="NBV1" s="935"/>
      <c r="NBW1" s="935"/>
      <c r="NBX1" s="935"/>
      <c r="NBY1" s="935"/>
      <c r="NBZ1" s="935"/>
      <c r="NCA1" s="935"/>
      <c r="NCB1" s="935"/>
      <c r="NCC1" s="935"/>
      <c r="NCD1" s="935"/>
      <c r="NCE1" s="935"/>
      <c r="NCF1" s="935"/>
      <c r="NCG1" s="935"/>
      <c r="NCH1" s="935"/>
      <c r="NCI1" s="935"/>
      <c r="NCJ1" s="935"/>
      <c r="NCK1" s="935"/>
      <c r="NCL1" s="935"/>
      <c r="NCM1" s="935"/>
      <c r="NCN1" s="935"/>
      <c r="NCO1" s="935"/>
      <c r="NCP1" s="935"/>
      <c r="NCQ1" s="935"/>
      <c r="NCR1" s="935"/>
      <c r="NCS1" s="935"/>
      <c r="NCT1" s="935"/>
      <c r="NCU1" s="935"/>
      <c r="NCV1" s="935"/>
      <c r="NCW1" s="935"/>
      <c r="NCX1" s="935"/>
      <c r="NCY1" s="935"/>
      <c r="NCZ1" s="935"/>
      <c r="NDA1" s="935"/>
      <c r="NDB1" s="935"/>
      <c r="NDC1" s="935"/>
      <c r="NDD1" s="935"/>
      <c r="NDE1" s="935"/>
      <c r="NDF1" s="935"/>
      <c r="NDG1" s="935"/>
      <c r="NDH1" s="935"/>
      <c r="NDI1" s="935"/>
      <c r="NDJ1" s="935"/>
      <c r="NDK1" s="935"/>
      <c r="NDL1" s="935"/>
      <c r="NDM1" s="935"/>
      <c r="NDN1" s="935"/>
      <c r="NDO1" s="935"/>
      <c r="NDP1" s="935"/>
      <c r="NDQ1" s="935"/>
      <c r="NDR1" s="935"/>
      <c r="NDS1" s="935"/>
      <c r="NDT1" s="935"/>
      <c r="NDU1" s="935"/>
      <c r="NDV1" s="935"/>
      <c r="NDW1" s="935"/>
      <c r="NDX1" s="935"/>
      <c r="NDY1" s="935"/>
      <c r="NDZ1" s="935"/>
      <c r="NEA1" s="935"/>
      <c r="NEB1" s="935"/>
      <c r="NEC1" s="935"/>
      <c r="NED1" s="935"/>
      <c r="NEE1" s="935"/>
      <c r="NEF1" s="935"/>
      <c r="NEG1" s="935"/>
      <c r="NEH1" s="935"/>
      <c r="NEI1" s="935"/>
      <c r="NEJ1" s="935"/>
      <c r="NEK1" s="935"/>
      <c r="NEL1" s="935"/>
      <c r="NEM1" s="935"/>
      <c r="NEN1" s="935"/>
      <c r="NEO1" s="935"/>
      <c r="NEP1" s="935"/>
      <c r="NEQ1" s="935"/>
      <c r="NER1" s="935"/>
      <c r="NES1" s="935"/>
      <c r="NET1" s="935"/>
      <c r="NEU1" s="935"/>
      <c r="NEV1" s="935"/>
      <c r="NEW1" s="935"/>
      <c r="NEX1" s="935"/>
      <c r="NEY1" s="935"/>
      <c r="NEZ1" s="935"/>
      <c r="NFA1" s="935"/>
      <c r="NFB1" s="935"/>
      <c r="NFC1" s="935"/>
      <c r="NFD1" s="935"/>
      <c r="NFE1" s="935"/>
      <c r="NFF1" s="935"/>
      <c r="NFG1" s="935"/>
      <c r="NFH1" s="935"/>
      <c r="NFI1" s="935"/>
      <c r="NFJ1" s="935"/>
      <c r="NFK1" s="935"/>
      <c r="NFL1" s="935"/>
      <c r="NFM1" s="935"/>
      <c r="NFN1" s="935"/>
      <c r="NFO1" s="935"/>
      <c r="NFP1" s="935"/>
      <c r="NFQ1" s="935"/>
      <c r="NFR1" s="935"/>
      <c r="NFS1" s="935"/>
      <c r="NFT1" s="935"/>
      <c r="NFU1" s="935"/>
      <c r="NFV1" s="935"/>
      <c r="NFW1" s="935"/>
      <c r="NFX1" s="935"/>
      <c r="NFY1" s="935"/>
      <c r="NFZ1" s="935"/>
      <c r="NGA1" s="935"/>
      <c r="NGB1" s="935"/>
      <c r="NGC1" s="935"/>
      <c r="NGD1" s="935"/>
      <c r="NGE1" s="935"/>
      <c r="NGF1" s="935"/>
      <c r="NGG1" s="935"/>
      <c r="NGH1" s="935"/>
      <c r="NGI1" s="935"/>
      <c r="NGJ1" s="935"/>
      <c r="NGK1" s="935"/>
      <c r="NGL1" s="935"/>
      <c r="NGM1" s="935"/>
      <c r="NGN1" s="935"/>
      <c r="NGO1" s="935"/>
      <c r="NGP1" s="935"/>
      <c r="NGQ1" s="935"/>
      <c r="NGR1" s="935"/>
      <c r="NGS1" s="935"/>
      <c r="NGT1" s="935"/>
      <c r="NGU1" s="935"/>
      <c r="NGV1" s="935"/>
      <c r="NGW1" s="935"/>
      <c r="NGX1" s="935"/>
      <c r="NGY1" s="935"/>
      <c r="NGZ1" s="935"/>
      <c r="NHA1" s="935"/>
      <c r="NHB1" s="935"/>
      <c r="NHC1" s="935"/>
      <c r="NHD1" s="935"/>
      <c r="NHE1" s="935"/>
      <c r="NHF1" s="935"/>
      <c r="NHG1" s="935"/>
      <c r="NHH1" s="935"/>
      <c r="NHI1" s="935"/>
      <c r="NHJ1" s="935"/>
      <c r="NHK1" s="935"/>
      <c r="NHL1" s="935"/>
      <c r="NHM1" s="935"/>
      <c r="NHN1" s="935"/>
      <c r="NHO1" s="935"/>
      <c r="NHP1" s="935"/>
      <c r="NHQ1" s="935"/>
      <c r="NHR1" s="935"/>
      <c r="NHS1" s="935"/>
      <c r="NHT1" s="935"/>
      <c r="NHU1" s="935"/>
      <c r="NHV1" s="935"/>
      <c r="NHW1" s="935"/>
      <c r="NHX1" s="935"/>
      <c r="NHY1" s="935"/>
      <c r="NHZ1" s="935"/>
      <c r="NIA1" s="935"/>
      <c r="NIB1" s="935"/>
      <c r="NIC1" s="935"/>
      <c r="NID1" s="935"/>
      <c r="NIE1" s="935"/>
      <c r="NIF1" s="935"/>
      <c r="NIG1" s="935"/>
      <c r="NIH1" s="935"/>
      <c r="NII1" s="935"/>
      <c r="NIJ1" s="935"/>
      <c r="NIK1" s="935"/>
      <c r="NIL1" s="935"/>
      <c r="NIM1" s="935"/>
      <c r="NIN1" s="935"/>
      <c r="NIO1" s="935"/>
      <c r="NIP1" s="935"/>
      <c r="NIQ1" s="935"/>
      <c r="NIR1" s="935"/>
      <c r="NIS1" s="935"/>
      <c r="NIT1" s="935"/>
      <c r="NIU1" s="935"/>
      <c r="NIV1" s="935"/>
      <c r="NIW1" s="935"/>
      <c r="NIX1" s="935"/>
      <c r="NIY1" s="935"/>
      <c r="NIZ1" s="935"/>
      <c r="NJA1" s="935"/>
      <c r="NJB1" s="935"/>
      <c r="NJC1" s="935"/>
      <c r="NJD1" s="935"/>
      <c r="NJE1" s="935"/>
      <c r="NJF1" s="935"/>
      <c r="NJG1" s="935"/>
      <c r="NJH1" s="935"/>
      <c r="NJI1" s="935"/>
      <c r="NJJ1" s="935"/>
      <c r="NJK1" s="935"/>
      <c r="NJL1" s="935"/>
      <c r="NJM1" s="935"/>
      <c r="NJN1" s="935"/>
      <c r="NJO1" s="935"/>
      <c r="NJP1" s="935"/>
      <c r="NJQ1" s="935"/>
      <c r="NJR1" s="935"/>
      <c r="NJS1" s="935"/>
      <c r="NJT1" s="935"/>
      <c r="NJU1" s="935"/>
      <c r="NJV1" s="935"/>
      <c r="NJW1" s="935"/>
      <c r="NJX1" s="935"/>
      <c r="NJY1" s="935"/>
      <c r="NJZ1" s="935"/>
      <c r="NKA1" s="935"/>
      <c r="NKB1" s="935"/>
      <c r="NKC1" s="935"/>
      <c r="NKD1" s="935"/>
      <c r="NKE1" s="935"/>
      <c r="NKF1" s="935"/>
      <c r="NKG1" s="935"/>
      <c r="NKH1" s="935"/>
      <c r="NKI1" s="935"/>
      <c r="NKJ1" s="935"/>
      <c r="NKK1" s="935"/>
      <c r="NKL1" s="935"/>
      <c r="NKM1" s="935"/>
      <c r="NKN1" s="935"/>
      <c r="NKO1" s="935"/>
      <c r="NKP1" s="935"/>
      <c r="NKQ1" s="935"/>
      <c r="NKR1" s="935"/>
      <c r="NKS1" s="935"/>
      <c r="NKT1" s="935"/>
      <c r="NKU1" s="935"/>
      <c r="NKV1" s="935"/>
      <c r="NKW1" s="935"/>
      <c r="NKX1" s="935"/>
      <c r="NKY1" s="935"/>
      <c r="NKZ1" s="935"/>
      <c r="NLA1" s="935"/>
      <c r="NLB1" s="935"/>
      <c r="NLC1" s="935"/>
      <c r="NLD1" s="935"/>
      <c r="NLE1" s="935"/>
      <c r="NLF1" s="935"/>
      <c r="NLG1" s="935"/>
      <c r="NLH1" s="935"/>
      <c r="NLI1" s="935"/>
      <c r="NLJ1" s="935"/>
      <c r="NLK1" s="935"/>
      <c r="NLL1" s="935"/>
      <c r="NLM1" s="935"/>
      <c r="NLN1" s="935"/>
      <c r="NLO1" s="935"/>
      <c r="NLP1" s="935"/>
      <c r="NLQ1" s="935"/>
      <c r="NLR1" s="935"/>
      <c r="NLS1" s="935"/>
      <c r="NLT1" s="935"/>
      <c r="NLU1" s="935"/>
      <c r="NLV1" s="935"/>
      <c r="NLW1" s="935"/>
      <c r="NLX1" s="935"/>
      <c r="NLY1" s="935"/>
      <c r="NLZ1" s="935"/>
      <c r="NMA1" s="935"/>
      <c r="NMB1" s="935"/>
      <c r="NMC1" s="935"/>
      <c r="NMD1" s="935"/>
      <c r="NME1" s="935"/>
      <c r="NMF1" s="935"/>
      <c r="NMG1" s="935"/>
      <c r="NMH1" s="935"/>
      <c r="NMI1" s="935"/>
      <c r="NMJ1" s="935"/>
      <c r="NMK1" s="935"/>
      <c r="NML1" s="935"/>
      <c r="NMM1" s="935"/>
      <c r="NMN1" s="935"/>
      <c r="NMO1" s="935"/>
      <c r="NMP1" s="935"/>
      <c r="NMQ1" s="935"/>
      <c r="NMR1" s="935"/>
      <c r="NMS1" s="935"/>
      <c r="NMT1" s="935"/>
      <c r="NMU1" s="935"/>
      <c r="NMV1" s="935"/>
      <c r="NMW1" s="935"/>
      <c r="NMX1" s="935"/>
      <c r="NMY1" s="935"/>
      <c r="NMZ1" s="935"/>
      <c r="NNA1" s="935"/>
      <c r="NNB1" s="935"/>
      <c r="NNC1" s="935"/>
      <c r="NND1" s="935"/>
      <c r="NNE1" s="935"/>
      <c r="NNF1" s="935"/>
      <c r="NNG1" s="935"/>
      <c r="NNH1" s="935"/>
      <c r="NNI1" s="935"/>
      <c r="NNJ1" s="935"/>
      <c r="NNK1" s="935"/>
      <c r="NNL1" s="935"/>
      <c r="NNM1" s="935"/>
      <c r="NNN1" s="935"/>
      <c r="NNO1" s="935"/>
      <c r="NNP1" s="935"/>
      <c r="NNQ1" s="935"/>
      <c r="NNR1" s="935"/>
      <c r="NNS1" s="935"/>
      <c r="NNT1" s="935"/>
      <c r="NNU1" s="935"/>
      <c r="NNV1" s="935"/>
      <c r="NNW1" s="935"/>
      <c r="NNX1" s="935"/>
      <c r="NNY1" s="935"/>
      <c r="NNZ1" s="935"/>
      <c r="NOA1" s="935"/>
      <c r="NOB1" s="935"/>
      <c r="NOC1" s="935"/>
      <c r="NOD1" s="935"/>
      <c r="NOE1" s="935"/>
      <c r="NOF1" s="935"/>
      <c r="NOG1" s="935"/>
      <c r="NOH1" s="935"/>
      <c r="NOI1" s="935"/>
      <c r="NOJ1" s="935"/>
      <c r="NOK1" s="935"/>
      <c r="NOL1" s="935"/>
      <c r="NOM1" s="935"/>
      <c r="NON1" s="935"/>
      <c r="NOO1" s="935"/>
      <c r="NOP1" s="935"/>
      <c r="NOQ1" s="935"/>
      <c r="NOR1" s="935"/>
      <c r="NOS1" s="935"/>
      <c r="NOT1" s="935"/>
      <c r="NOU1" s="935"/>
      <c r="NOV1" s="935"/>
      <c r="NOW1" s="935"/>
      <c r="NOX1" s="935"/>
      <c r="NOY1" s="935"/>
      <c r="NOZ1" s="935"/>
      <c r="NPA1" s="935"/>
      <c r="NPB1" s="935"/>
      <c r="NPC1" s="935"/>
      <c r="NPD1" s="935"/>
      <c r="NPE1" s="935"/>
      <c r="NPF1" s="935"/>
      <c r="NPG1" s="935"/>
      <c r="NPH1" s="935"/>
      <c r="NPI1" s="935"/>
      <c r="NPJ1" s="935"/>
      <c r="NPK1" s="935"/>
      <c r="NPL1" s="935"/>
      <c r="NPM1" s="935"/>
      <c r="NPN1" s="935"/>
      <c r="NPO1" s="935"/>
      <c r="NPP1" s="935"/>
      <c r="NPQ1" s="935"/>
      <c r="NPR1" s="935"/>
      <c r="NPS1" s="935"/>
      <c r="NPT1" s="935"/>
      <c r="NPU1" s="935"/>
      <c r="NPV1" s="935"/>
      <c r="NPW1" s="935"/>
      <c r="NPX1" s="935"/>
      <c r="NPY1" s="935"/>
      <c r="NPZ1" s="935"/>
      <c r="NQA1" s="935"/>
      <c r="NQB1" s="935"/>
      <c r="NQC1" s="935"/>
      <c r="NQD1" s="935"/>
      <c r="NQE1" s="935"/>
      <c r="NQF1" s="935"/>
      <c r="NQG1" s="935"/>
      <c r="NQH1" s="935"/>
      <c r="NQI1" s="935"/>
      <c r="NQJ1" s="935"/>
      <c r="NQK1" s="935"/>
      <c r="NQL1" s="935"/>
      <c r="NQM1" s="935"/>
      <c r="NQN1" s="935"/>
      <c r="NQO1" s="935"/>
      <c r="NQP1" s="935"/>
      <c r="NQQ1" s="935"/>
      <c r="NQR1" s="935"/>
      <c r="NQS1" s="935"/>
      <c r="NQT1" s="935"/>
      <c r="NQU1" s="935"/>
      <c r="NQV1" s="935"/>
      <c r="NQW1" s="935"/>
      <c r="NQX1" s="935"/>
      <c r="NQY1" s="935"/>
      <c r="NQZ1" s="935"/>
      <c r="NRA1" s="935"/>
      <c r="NRB1" s="935"/>
      <c r="NRC1" s="935"/>
      <c r="NRD1" s="935"/>
      <c r="NRE1" s="935"/>
      <c r="NRF1" s="935"/>
      <c r="NRG1" s="935"/>
      <c r="NRH1" s="935"/>
      <c r="NRI1" s="935"/>
      <c r="NRJ1" s="935"/>
      <c r="NRK1" s="935"/>
      <c r="NRL1" s="935"/>
      <c r="NRM1" s="935"/>
      <c r="NRN1" s="935"/>
      <c r="NRO1" s="935"/>
      <c r="NRP1" s="935"/>
      <c r="NRQ1" s="935"/>
      <c r="NRR1" s="935"/>
      <c r="NRS1" s="935"/>
      <c r="NRT1" s="935"/>
      <c r="NRU1" s="935"/>
      <c r="NRV1" s="935"/>
      <c r="NRW1" s="935"/>
      <c r="NRX1" s="935"/>
      <c r="NRY1" s="935"/>
      <c r="NRZ1" s="935"/>
      <c r="NSA1" s="935"/>
      <c r="NSB1" s="935"/>
      <c r="NSC1" s="935"/>
      <c r="NSD1" s="935"/>
      <c r="NSE1" s="935"/>
      <c r="NSF1" s="935"/>
      <c r="NSG1" s="935"/>
      <c r="NSH1" s="935"/>
      <c r="NSI1" s="935"/>
      <c r="NSJ1" s="935"/>
      <c r="NSK1" s="935"/>
      <c r="NSL1" s="935"/>
      <c r="NSM1" s="935"/>
      <c r="NSN1" s="935"/>
      <c r="NSO1" s="935"/>
      <c r="NSP1" s="935"/>
      <c r="NSQ1" s="935"/>
      <c r="NSR1" s="935"/>
      <c r="NSS1" s="935"/>
      <c r="NST1" s="935"/>
      <c r="NSU1" s="935"/>
      <c r="NSV1" s="935"/>
      <c r="NSW1" s="935"/>
      <c r="NSX1" s="935"/>
      <c r="NSY1" s="935"/>
      <c r="NSZ1" s="935"/>
      <c r="NTA1" s="935"/>
      <c r="NTB1" s="935"/>
      <c r="NTC1" s="935"/>
      <c r="NTD1" s="935"/>
      <c r="NTE1" s="935"/>
      <c r="NTF1" s="935"/>
      <c r="NTG1" s="935"/>
      <c r="NTH1" s="935"/>
      <c r="NTI1" s="935"/>
      <c r="NTJ1" s="935"/>
      <c r="NTK1" s="935"/>
      <c r="NTL1" s="935"/>
      <c r="NTM1" s="935"/>
      <c r="NTN1" s="935"/>
      <c r="NTO1" s="935"/>
      <c r="NTP1" s="935"/>
      <c r="NTQ1" s="935"/>
      <c r="NTR1" s="935"/>
      <c r="NTS1" s="935"/>
      <c r="NTT1" s="935"/>
      <c r="NTU1" s="935"/>
      <c r="NTV1" s="935"/>
      <c r="NTW1" s="935"/>
      <c r="NTX1" s="935"/>
      <c r="NTY1" s="935"/>
      <c r="NTZ1" s="935"/>
      <c r="NUA1" s="935"/>
      <c r="NUB1" s="935"/>
      <c r="NUC1" s="935"/>
      <c r="NUD1" s="935"/>
      <c r="NUE1" s="935"/>
      <c r="NUF1" s="935"/>
      <c r="NUG1" s="935"/>
      <c r="NUH1" s="935"/>
      <c r="NUI1" s="935"/>
      <c r="NUJ1" s="935"/>
      <c r="NUK1" s="935"/>
      <c r="NUL1" s="935"/>
      <c r="NUM1" s="935"/>
      <c r="NUN1" s="935"/>
      <c r="NUO1" s="935"/>
      <c r="NUP1" s="935"/>
      <c r="NUQ1" s="935"/>
      <c r="NUR1" s="935"/>
      <c r="NUS1" s="935"/>
      <c r="NUT1" s="935"/>
      <c r="NUU1" s="935"/>
      <c r="NUV1" s="935"/>
      <c r="NUW1" s="935"/>
      <c r="NUX1" s="935"/>
      <c r="NUY1" s="935"/>
      <c r="NUZ1" s="935"/>
      <c r="NVA1" s="935"/>
      <c r="NVB1" s="935"/>
      <c r="NVC1" s="935"/>
      <c r="NVD1" s="935"/>
      <c r="NVE1" s="935"/>
      <c r="NVF1" s="935"/>
      <c r="NVG1" s="935"/>
      <c r="NVH1" s="935"/>
      <c r="NVI1" s="935"/>
      <c r="NVJ1" s="935"/>
      <c r="NVK1" s="935"/>
      <c r="NVL1" s="935"/>
      <c r="NVM1" s="935"/>
      <c r="NVN1" s="935"/>
      <c r="NVO1" s="935"/>
      <c r="NVP1" s="935"/>
      <c r="NVQ1" s="935"/>
      <c r="NVR1" s="935"/>
      <c r="NVS1" s="935"/>
      <c r="NVT1" s="935"/>
      <c r="NVU1" s="935"/>
      <c r="NVV1" s="935"/>
      <c r="NVW1" s="935"/>
      <c r="NVX1" s="935"/>
      <c r="NVY1" s="935"/>
      <c r="NVZ1" s="935"/>
      <c r="NWA1" s="935"/>
      <c r="NWB1" s="935"/>
      <c r="NWC1" s="935"/>
      <c r="NWD1" s="935"/>
      <c r="NWE1" s="935"/>
      <c r="NWF1" s="935"/>
      <c r="NWG1" s="935"/>
      <c r="NWH1" s="935"/>
      <c r="NWI1" s="935"/>
      <c r="NWJ1" s="935"/>
      <c r="NWK1" s="935"/>
      <c r="NWL1" s="935"/>
      <c r="NWM1" s="935"/>
      <c r="NWN1" s="935"/>
      <c r="NWO1" s="935"/>
      <c r="NWP1" s="935"/>
      <c r="NWQ1" s="935"/>
      <c r="NWR1" s="935"/>
      <c r="NWS1" s="935"/>
      <c r="NWT1" s="935"/>
      <c r="NWU1" s="935"/>
      <c r="NWV1" s="935"/>
      <c r="NWW1" s="935"/>
      <c r="NWX1" s="935"/>
      <c r="NWY1" s="935"/>
      <c r="NWZ1" s="935"/>
      <c r="NXA1" s="935"/>
      <c r="NXB1" s="935"/>
      <c r="NXC1" s="935"/>
      <c r="NXD1" s="935"/>
      <c r="NXE1" s="935"/>
      <c r="NXF1" s="935"/>
      <c r="NXG1" s="935"/>
      <c r="NXH1" s="935"/>
      <c r="NXI1" s="935"/>
      <c r="NXJ1" s="935"/>
      <c r="NXK1" s="935"/>
      <c r="NXL1" s="935"/>
      <c r="NXM1" s="935"/>
      <c r="NXN1" s="935"/>
      <c r="NXO1" s="935"/>
      <c r="NXP1" s="935"/>
      <c r="NXQ1" s="935"/>
      <c r="NXR1" s="935"/>
      <c r="NXS1" s="935"/>
      <c r="NXT1" s="935"/>
      <c r="NXU1" s="935"/>
      <c r="NXV1" s="935"/>
      <c r="NXW1" s="935"/>
      <c r="NXX1" s="935"/>
      <c r="NXY1" s="935"/>
      <c r="NXZ1" s="935"/>
      <c r="NYA1" s="935"/>
      <c r="NYB1" s="935"/>
      <c r="NYC1" s="935"/>
      <c r="NYD1" s="935"/>
      <c r="NYE1" s="935"/>
      <c r="NYF1" s="935"/>
      <c r="NYG1" s="935"/>
      <c r="NYH1" s="935"/>
      <c r="NYI1" s="935"/>
      <c r="NYJ1" s="935"/>
      <c r="NYK1" s="935"/>
      <c r="NYL1" s="935"/>
      <c r="NYM1" s="935"/>
      <c r="NYN1" s="935"/>
      <c r="NYO1" s="935"/>
      <c r="NYP1" s="935"/>
      <c r="NYQ1" s="935"/>
      <c r="NYR1" s="935"/>
      <c r="NYS1" s="935"/>
      <c r="NYT1" s="935"/>
      <c r="NYU1" s="935"/>
      <c r="NYV1" s="935"/>
      <c r="NYW1" s="935"/>
      <c r="NYX1" s="935"/>
      <c r="NYY1" s="935"/>
      <c r="NYZ1" s="935"/>
      <c r="NZA1" s="935"/>
      <c r="NZB1" s="935"/>
      <c r="NZC1" s="935"/>
      <c r="NZD1" s="935"/>
      <c r="NZE1" s="935"/>
      <c r="NZF1" s="935"/>
      <c r="NZG1" s="935"/>
      <c r="NZH1" s="935"/>
      <c r="NZI1" s="935"/>
      <c r="NZJ1" s="935"/>
      <c r="NZK1" s="935"/>
      <c r="NZL1" s="935"/>
      <c r="NZM1" s="935"/>
      <c r="NZN1" s="935"/>
      <c r="NZO1" s="935"/>
      <c r="NZP1" s="935"/>
      <c r="NZQ1" s="935"/>
      <c r="NZR1" s="935"/>
      <c r="NZS1" s="935"/>
      <c r="NZT1" s="935"/>
      <c r="NZU1" s="935"/>
      <c r="NZV1" s="935"/>
      <c r="NZW1" s="935"/>
      <c r="NZX1" s="935"/>
      <c r="NZY1" s="935"/>
      <c r="NZZ1" s="935"/>
      <c r="OAA1" s="935"/>
      <c r="OAB1" s="935"/>
      <c r="OAC1" s="935"/>
      <c r="OAD1" s="935"/>
      <c r="OAE1" s="935"/>
      <c r="OAF1" s="935"/>
      <c r="OAG1" s="935"/>
      <c r="OAH1" s="935"/>
      <c r="OAI1" s="935"/>
      <c r="OAJ1" s="935"/>
      <c r="OAK1" s="935"/>
      <c r="OAL1" s="935"/>
      <c r="OAM1" s="935"/>
      <c r="OAN1" s="935"/>
      <c r="OAO1" s="935"/>
      <c r="OAP1" s="935"/>
      <c r="OAQ1" s="935"/>
      <c r="OAR1" s="935"/>
      <c r="OAS1" s="935"/>
      <c r="OAT1" s="935"/>
      <c r="OAU1" s="935"/>
      <c r="OAV1" s="935"/>
      <c r="OAW1" s="935"/>
      <c r="OAX1" s="935"/>
      <c r="OAY1" s="935"/>
      <c r="OAZ1" s="935"/>
      <c r="OBA1" s="935"/>
      <c r="OBB1" s="935"/>
      <c r="OBC1" s="935"/>
      <c r="OBD1" s="935"/>
      <c r="OBE1" s="935"/>
      <c r="OBF1" s="935"/>
      <c r="OBG1" s="935"/>
      <c r="OBH1" s="935"/>
      <c r="OBI1" s="935"/>
      <c r="OBJ1" s="935"/>
      <c r="OBK1" s="935"/>
      <c r="OBL1" s="935"/>
      <c r="OBM1" s="935"/>
      <c r="OBN1" s="935"/>
      <c r="OBO1" s="935"/>
      <c r="OBP1" s="935"/>
      <c r="OBQ1" s="935"/>
      <c r="OBR1" s="935"/>
      <c r="OBS1" s="935"/>
      <c r="OBT1" s="935"/>
      <c r="OBU1" s="935"/>
      <c r="OBV1" s="935"/>
      <c r="OBW1" s="935"/>
      <c r="OBX1" s="935"/>
      <c r="OBY1" s="935"/>
      <c r="OBZ1" s="935"/>
      <c r="OCA1" s="935"/>
      <c r="OCB1" s="935"/>
      <c r="OCC1" s="935"/>
      <c r="OCD1" s="935"/>
      <c r="OCE1" s="935"/>
      <c r="OCF1" s="935"/>
      <c r="OCG1" s="935"/>
      <c r="OCH1" s="935"/>
      <c r="OCI1" s="935"/>
      <c r="OCJ1" s="935"/>
      <c r="OCK1" s="935"/>
      <c r="OCL1" s="935"/>
      <c r="OCM1" s="935"/>
      <c r="OCN1" s="935"/>
      <c r="OCO1" s="935"/>
      <c r="OCP1" s="935"/>
      <c r="OCQ1" s="935"/>
      <c r="OCR1" s="935"/>
      <c r="OCS1" s="935"/>
      <c r="OCT1" s="935"/>
      <c r="OCU1" s="935"/>
      <c r="OCV1" s="935"/>
      <c r="OCW1" s="935"/>
      <c r="OCX1" s="935"/>
      <c r="OCY1" s="935"/>
      <c r="OCZ1" s="935"/>
      <c r="ODA1" s="935"/>
      <c r="ODB1" s="935"/>
      <c r="ODC1" s="935"/>
      <c r="ODD1" s="935"/>
      <c r="ODE1" s="935"/>
      <c r="ODF1" s="935"/>
      <c r="ODG1" s="935"/>
      <c r="ODH1" s="935"/>
      <c r="ODI1" s="935"/>
      <c r="ODJ1" s="935"/>
      <c r="ODK1" s="935"/>
      <c r="ODL1" s="935"/>
      <c r="ODM1" s="935"/>
      <c r="ODN1" s="935"/>
      <c r="ODO1" s="935"/>
      <c r="ODP1" s="935"/>
      <c r="ODQ1" s="935"/>
      <c r="ODR1" s="935"/>
      <c r="ODS1" s="935"/>
      <c r="ODT1" s="935"/>
      <c r="ODU1" s="935"/>
      <c r="ODV1" s="935"/>
      <c r="ODW1" s="935"/>
      <c r="ODX1" s="935"/>
      <c r="ODY1" s="935"/>
      <c r="ODZ1" s="935"/>
      <c r="OEA1" s="935"/>
      <c r="OEB1" s="935"/>
      <c r="OEC1" s="935"/>
      <c r="OED1" s="935"/>
      <c r="OEE1" s="935"/>
      <c r="OEF1" s="935"/>
      <c r="OEG1" s="935"/>
      <c r="OEH1" s="935"/>
      <c r="OEI1" s="935"/>
      <c r="OEJ1" s="935"/>
      <c r="OEK1" s="935"/>
      <c r="OEL1" s="935"/>
      <c r="OEM1" s="935"/>
      <c r="OEN1" s="935"/>
      <c r="OEO1" s="935"/>
      <c r="OEP1" s="935"/>
      <c r="OEQ1" s="935"/>
      <c r="OER1" s="935"/>
      <c r="OES1" s="935"/>
      <c r="OET1" s="935"/>
      <c r="OEU1" s="935"/>
      <c r="OEV1" s="935"/>
      <c r="OEW1" s="935"/>
      <c r="OEX1" s="935"/>
      <c r="OEY1" s="935"/>
      <c r="OEZ1" s="935"/>
      <c r="OFA1" s="935"/>
      <c r="OFB1" s="935"/>
      <c r="OFC1" s="935"/>
      <c r="OFD1" s="935"/>
      <c r="OFE1" s="935"/>
      <c r="OFF1" s="935"/>
      <c r="OFG1" s="935"/>
      <c r="OFH1" s="935"/>
      <c r="OFI1" s="935"/>
      <c r="OFJ1" s="935"/>
      <c r="OFK1" s="935"/>
      <c r="OFL1" s="935"/>
      <c r="OFM1" s="935"/>
      <c r="OFN1" s="935"/>
      <c r="OFO1" s="935"/>
      <c r="OFP1" s="935"/>
      <c r="OFQ1" s="935"/>
      <c r="OFR1" s="935"/>
      <c r="OFS1" s="935"/>
      <c r="OFT1" s="935"/>
      <c r="OFU1" s="935"/>
      <c r="OFV1" s="935"/>
      <c r="OFW1" s="935"/>
      <c r="OFX1" s="935"/>
      <c r="OFY1" s="935"/>
      <c r="OFZ1" s="935"/>
      <c r="OGA1" s="935"/>
      <c r="OGB1" s="935"/>
      <c r="OGC1" s="935"/>
      <c r="OGD1" s="935"/>
      <c r="OGE1" s="935"/>
      <c r="OGF1" s="935"/>
      <c r="OGG1" s="935"/>
      <c r="OGH1" s="935"/>
      <c r="OGI1" s="935"/>
      <c r="OGJ1" s="935"/>
      <c r="OGK1" s="935"/>
      <c r="OGL1" s="935"/>
      <c r="OGM1" s="935"/>
      <c r="OGN1" s="935"/>
      <c r="OGO1" s="935"/>
      <c r="OGP1" s="935"/>
      <c r="OGQ1" s="935"/>
      <c r="OGR1" s="935"/>
      <c r="OGS1" s="935"/>
      <c r="OGT1" s="935"/>
      <c r="OGU1" s="935"/>
      <c r="OGV1" s="935"/>
      <c r="OGW1" s="935"/>
      <c r="OGX1" s="935"/>
      <c r="OGY1" s="935"/>
      <c r="OGZ1" s="935"/>
      <c r="OHA1" s="935"/>
      <c r="OHB1" s="935"/>
      <c r="OHC1" s="935"/>
      <c r="OHD1" s="935"/>
      <c r="OHE1" s="935"/>
      <c r="OHF1" s="935"/>
      <c r="OHG1" s="935"/>
      <c r="OHH1" s="935"/>
      <c r="OHI1" s="935"/>
      <c r="OHJ1" s="935"/>
      <c r="OHK1" s="935"/>
      <c r="OHL1" s="935"/>
      <c r="OHM1" s="935"/>
      <c r="OHN1" s="935"/>
      <c r="OHO1" s="935"/>
      <c r="OHP1" s="935"/>
      <c r="OHQ1" s="935"/>
      <c r="OHR1" s="935"/>
      <c r="OHS1" s="935"/>
      <c r="OHT1" s="935"/>
      <c r="OHU1" s="935"/>
      <c r="OHV1" s="935"/>
      <c r="OHW1" s="935"/>
      <c r="OHX1" s="935"/>
      <c r="OHY1" s="935"/>
      <c r="OHZ1" s="935"/>
      <c r="OIA1" s="935"/>
      <c r="OIB1" s="935"/>
      <c r="OIC1" s="935"/>
      <c r="OID1" s="935"/>
      <c r="OIE1" s="935"/>
      <c r="OIF1" s="935"/>
      <c r="OIG1" s="935"/>
      <c r="OIH1" s="935"/>
      <c r="OII1" s="935"/>
      <c r="OIJ1" s="935"/>
      <c r="OIK1" s="935"/>
      <c r="OIL1" s="935"/>
      <c r="OIM1" s="935"/>
      <c r="OIN1" s="935"/>
      <c r="OIO1" s="935"/>
      <c r="OIP1" s="935"/>
      <c r="OIQ1" s="935"/>
      <c r="OIR1" s="935"/>
      <c r="OIS1" s="935"/>
      <c r="OIT1" s="935"/>
      <c r="OIU1" s="935"/>
      <c r="OIV1" s="935"/>
      <c r="OIW1" s="935"/>
      <c r="OIX1" s="935"/>
      <c r="OIY1" s="935"/>
      <c r="OIZ1" s="935"/>
      <c r="OJA1" s="935"/>
      <c r="OJB1" s="935"/>
      <c r="OJC1" s="935"/>
      <c r="OJD1" s="935"/>
      <c r="OJE1" s="935"/>
      <c r="OJF1" s="935"/>
      <c r="OJG1" s="935"/>
      <c r="OJH1" s="935"/>
      <c r="OJI1" s="935"/>
      <c r="OJJ1" s="935"/>
      <c r="OJK1" s="935"/>
      <c r="OJL1" s="935"/>
      <c r="OJM1" s="935"/>
      <c r="OJN1" s="935"/>
      <c r="OJO1" s="935"/>
      <c r="OJP1" s="935"/>
      <c r="OJQ1" s="935"/>
      <c r="OJR1" s="935"/>
      <c r="OJS1" s="935"/>
      <c r="OJT1" s="935"/>
      <c r="OJU1" s="935"/>
      <c r="OJV1" s="935"/>
      <c r="OJW1" s="935"/>
      <c r="OJX1" s="935"/>
      <c r="OJY1" s="935"/>
      <c r="OJZ1" s="935"/>
      <c r="OKA1" s="935"/>
      <c r="OKB1" s="935"/>
      <c r="OKC1" s="935"/>
      <c r="OKD1" s="935"/>
      <c r="OKE1" s="935"/>
      <c r="OKF1" s="935"/>
      <c r="OKG1" s="935"/>
      <c r="OKH1" s="935"/>
      <c r="OKI1" s="935"/>
      <c r="OKJ1" s="935"/>
      <c r="OKK1" s="935"/>
      <c r="OKL1" s="935"/>
      <c r="OKM1" s="935"/>
      <c r="OKN1" s="935"/>
      <c r="OKO1" s="935"/>
      <c r="OKP1" s="935"/>
      <c r="OKQ1" s="935"/>
      <c r="OKR1" s="935"/>
      <c r="OKS1" s="935"/>
      <c r="OKT1" s="935"/>
      <c r="OKU1" s="935"/>
      <c r="OKV1" s="935"/>
      <c r="OKW1" s="935"/>
      <c r="OKX1" s="935"/>
      <c r="OKY1" s="935"/>
      <c r="OKZ1" s="935"/>
      <c r="OLA1" s="935"/>
      <c r="OLB1" s="935"/>
      <c r="OLC1" s="935"/>
      <c r="OLD1" s="935"/>
      <c r="OLE1" s="935"/>
      <c r="OLF1" s="935"/>
      <c r="OLG1" s="935"/>
      <c r="OLH1" s="935"/>
      <c r="OLI1" s="935"/>
      <c r="OLJ1" s="935"/>
      <c r="OLK1" s="935"/>
      <c r="OLL1" s="935"/>
      <c r="OLM1" s="935"/>
      <c r="OLN1" s="935"/>
      <c r="OLO1" s="935"/>
      <c r="OLP1" s="935"/>
      <c r="OLQ1" s="935"/>
      <c r="OLR1" s="935"/>
      <c r="OLS1" s="935"/>
      <c r="OLT1" s="935"/>
      <c r="OLU1" s="935"/>
      <c r="OLV1" s="935"/>
      <c r="OLW1" s="935"/>
      <c r="OLX1" s="935"/>
      <c r="OLY1" s="935"/>
      <c r="OLZ1" s="935"/>
      <c r="OMA1" s="935"/>
      <c r="OMB1" s="935"/>
      <c r="OMC1" s="935"/>
      <c r="OMD1" s="935"/>
      <c r="OME1" s="935"/>
      <c r="OMF1" s="935"/>
      <c r="OMG1" s="935"/>
      <c r="OMH1" s="935"/>
      <c r="OMI1" s="935"/>
      <c r="OMJ1" s="935"/>
      <c r="OMK1" s="935"/>
      <c r="OML1" s="935"/>
      <c r="OMM1" s="935"/>
      <c r="OMN1" s="935"/>
      <c r="OMO1" s="935"/>
      <c r="OMP1" s="935"/>
      <c r="OMQ1" s="935"/>
      <c r="OMR1" s="935"/>
      <c r="OMS1" s="935"/>
      <c r="OMT1" s="935"/>
      <c r="OMU1" s="935"/>
      <c r="OMV1" s="935"/>
      <c r="OMW1" s="935"/>
      <c r="OMX1" s="935"/>
      <c r="OMY1" s="935"/>
      <c r="OMZ1" s="935"/>
      <c r="ONA1" s="935"/>
      <c r="ONB1" s="935"/>
      <c r="ONC1" s="935"/>
      <c r="OND1" s="935"/>
      <c r="ONE1" s="935"/>
      <c r="ONF1" s="935"/>
      <c r="ONG1" s="935"/>
      <c r="ONH1" s="935"/>
      <c r="ONI1" s="935"/>
      <c r="ONJ1" s="935"/>
      <c r="ONK1" s="935"/>
      <c r="ONL1" s="935"/>
      <c r="ONM1" s="935"/>
      <c r="ONN1" s="935"/>
      <c r="ONO1" s="935"/>
      <c r="ONP1" s="935"/>
      <c r="ONQ1" s="935"/>
      <c r="ONR1" s="935"/>
      <c r="ONS1" s="935"/>
      <c r="ONT1" s="935"/>
      <c r="ONU1" s="935"/>
      <c r="ONV1" s="935"/>
      <c r="ONW1" s="935"/>
      <c r="ONX1" s="935"/>
      <c r="ONY1" s="935"/>
      <c r="ONZ1" s="935"/>
      <c r="OOA1" s="935"/>
      <c r="OOB1" s="935"/>
      <c r="OOC1" s="935"/>
      <c r="OOD1" s="935"/>
      <c r="OOE1" s="935"/>
      <c r="OOF1" s="935"/>
      <c r="OOG1" s="935"/>
      <c r="OOH1" s="935"/>
      <c r="OOI1" s="935"/>
      <c r="OOJ1" s="935"/>
      <c r="OOK1" s="935"/>
      <c r="OOL1" s="935"/>
      <c r="OOM1" s="935"/>
      <c r="OON1" s="935"/>
      <c r="OOO1" s="935"/>
      <c r="OOP1" s="935"/>
      <c r="OOQ1" s="935"/>
      <c r="OOR1" s="935"/>
      <c r="OOS1" s="935"/>
      <c r="OOT1" s="935"/>
      <c r="OOU1" s="935"/>
      <c r="OOV1" s="935"/>
      <c r="OOW1" s="935"/>
      <c r="OOX1" s="935"/>
      <c r="OOY1" s="935"/>
      <c r="OOZ1" s="935"/>
      <c r="OPA1" s="935"/>
      <c r="OPB1" s="935"/>
      <c r="OPC1" s="935"/>
      <c r="OPD1" s="935"/>
      <c r="OPE1" s="935"/>
      <c r="OPF1" s="935"/>
      <c r="OPG1" s="935"/>
      <c r="OPH1" s="935"/>
      <c r="OPI1" s="935"/>
      <c r="OPJ1" s="935"/>
      <c r="OPK1" s="935"/>
      <c r="OPL1" s="935"/>
      <c r="OPM1" s="935"/>
      <c r="OPN1" s="935"/>
      <c r="OPO1" s="935"/>
      <c r="OPP1" s="935"/>
      <c r="OPQ1" s="935"/>
      <c r="OPR1" s="935"/>
      <c r="OPS1" s="935"/>
      <c r="OPT1" s="935"/>
      <c r="OPU1" s="935"/>
      <c r="OPV1" s="935"/>
      <c r="OPW1" s="935"/>
      <c r="OPX1" s="935"/>
      <c r="OPY1" s="935"/>
      <c r="OPZ1" s="935"/>
      <c r="OQA1" s="935"/>
      <c r="OQB1" s="935"/>
      <c r="OQC1" s="935"/>
      <c r="OQD1" s="935"/>
      <c r="OQE1" s="935"/>
      <c r="OQF1" s="935"/>
      <c r="OQG1" s="935"/>
      <c r="OQH1" s="935"/>
      <c r="OQI1" s="935"/>
      <c r="OQJ1" s="935"/>
      <c r="OQK1" s="935"/>
      <c r="OQL1" s="935"/>
      <c r="OQM1" s="935"/>
      <c r="OQN1" s="935"/>
      <c r="OQO1" s="935"/>
      <c r="OQP1" s="935"/>
      <c r="OQQ1" s="935"/>
      <c r="OQR1" s="935"/>
      <c r="OQS1" s="935"/>
      <c r="OQT1" s="935"/>
      <c r="OQU1" s="935"/>
      <c r="OQV1" s="935"/>
      <c r="OQW1" s="935"/>
      <c r="OQX1" s="935"/>
      <c r="OQY1" s="935"/>
      <c r="OQZ1" s="935"/>
      <c r="ORA1" s="935"/>
      <c r="ORB1" s="935"/>
      <c r="ORC1" s="935"/>
      <c r="ORD1" s="935"/>
      <c r="ORE1" s="935"/>
      <c r="ORF1" s="935"/>
      <c r="ORG1" s="935"/>
      <c r="ORH1" s="935"/>
      <c r="ORI1" s="935"/>
      <c r="ORJ1" s="935"/>
      <c r="ORK1" s="935"/>
      <c r="ORL1" s="935"/>
      <c r="ORM1" s="935"/>
      <c r="ORN1" s="935"/>
      <c r="ORO1" s="935"/>
      <c r="ORP1" s="935"/>
      <c r="ORQ1" s="935"/>
      <c r="ORR1" s="935"/>
      <c r="ORS1" s="935"/>
      <c r="ORT1" s="935"/>
      <c r="ORU1" s="935"/>
      <c r="ORV1" s="935"/>
      <c r="ORW1" s="935"/>
      <c r="ORX1" s="935"/>
      <c r="ORY1" s="935"/>
      <c r="ORZ1" s="935"/>
      <c r="OSA1" s="935"/>
      <c r="OSB1" s="935"/>
      <c r="OSC1" s="935"/>
      <c r="OSD1" s="935"/>
      <c r="OSE1" s="935"/>
      <c r="OSF1" s="935"/>
      <c r="OSG1" s="935"/>
      <c r="OSH1" s="935"/>
      <c r="OSI1" s="935"/>
      <c r="OSJ1" s="935"/>
      <c r="OSK1" s="935"/>
      <c r="OSL1" s="935"/>
      <c r="OSM1" s="935"/>
      <c r="OSN1" s="935"/>
      <c r="OSO1" s="935"/>
      <c r="OSP1" s="935"/>
      <c r="OSQ1" s="935"/>
      <c r="OSR1" s="935"/>
      <c r="OSS1" s="935"/>
      <c r="OST1" s="935"/>
      <c r="OSU1" s="935"/>
      <c r="OSV1" s="935"/>
      <c r="OSW1" s="935"/>
      <c r="OSX1" s="935"/>
      <c r="OSY1" s="935"/>
      <c r="OSZ1" s="935"/>
      <c r="OTA1" s="935"/>
      <c r="OTB1" s="935"/>
      <c r="OTC1" s="935"/>
      <c r="OTD1" s="935"/>
      <c r="OTE1" s="935"/>
      <c r="OTF1" s="935"/>
      <c r="OTG1" s="935"/>
      <c r="OTH1" s="935"/>
      <c r="OTI1" s="935"/>
      <c r="OTJ1" s="935"/>
      <c r="OTK1" s="935"/>
      <c r="OTL1" s="935"/>
      <c r="OTM1" s="935"/>
      <c r="OTN1" s="935"/>
      <c r="OTO1" s="935"/>
      <c r="OTP1" s="935"/>
      <c r="OTQ1" s="935"/>
      <c r="OTR1" s="935"/>
      <c r="OTS1" s="935"/>
      <c r="OTT1" s="935"/>
      <c r="OTU1" s="935"/>
      <c r="OTV1" s="935"/>
      <c r="OTW1" s="935"/>
      <c r="OTX1" s="935"/>
      <c r="OTY1" s="935"/>
      <c r="OTZ1" s="935"/>
      <c r="OUA1" s="935"/>
      <c r="OUB1" s="935"/>
      <c r="OUC1" s="935"/>
      <c r="OUD1" s="935"/>
      <c r="OUE1" s="935"/>
      <c r="OUF1" s="935"/>
      <c r="OUG1" s="935"/>
      <c r="OUH1" s="935"/>
      <c r="OUI1" s="935"/>
      <c r="OUJ1" s="935"/>
      <c r="OUK1" s="935"/>
      <c r="OUL1" s="935"/>
      <c r="OUM1" s="935"/>
      <c r="OUN1" s="935"/>
      <c r="OUO1" s="935"/>
      <c r="OUP1" s="935"/>
      <c r="OUQ1" s="935"/>
      <c r="OUR1" s="935"/>
      <c r="OUS1" s="935"/>
      <c r="OUT1" s="935"/>
      <c r="OUU1" s="935"/>
      <c r="OUV1" s="935"/>
      <c r="OUW1" s="935"/>
      <c r="OUX1" s="935"/>
      <c r="OUY1" s="935"/>
      <c r="OUZ1" s="935"/>
      <c r="OVA1" s="935"/>
      <c r="OVB1" s="935"/>
      <c r="OVC1" s="935"/>
      <c r="OVD1" s="935"/>
      <c r="OVE1" s="935"/>
      <c r="OVF1" s="935"/>
      <c r="OVG1" s="935"/>
      <c r="OVH1" s="935"/>
      <c r="OVI1" s="935"/>
      <c r="OVJ1" s="935"/>
      <c r="OVK1" s="935"/>
      <c r="OVL1" s="935"/>
      <c r="OVM1" s="935"/>
      <c r="OVN1" s="935"/>
      <c r="OVO1" s="935"/>
      <c r="OVP1" s="935"/>
      <c r="OVQ1" s="935"/>
      <c r="OVR1" s="935"/>
      <c r="OVS1" s="935"/>
      <c r="OVT1" s="935"/>
      <c r="OVU1" s="935"/>
      <c r="OVV1" s="935"/>
      <c r="OVW1" s="935"/>
      <c r="OVX1" s="935"/>
      <c r="OVY1" s="935"/>
      <c r="OVZ1" s="935"/>
      <c r="OWA1" s="935"/>
      <c r="OWB1" s="935"/>
      <c r="OWC1" s="935"/>
      <c r="OWD1" s="935"/>
      <c r="OWE1" s="935"/>
      <c r="OWF1" s="935"/>
      <c r="OWG1" s="935"/>
      <c r="OWH1" s="935"/>
      <c r="OWI1" s="935"/>
      <c r="OWJ1" s="935"/>
      <c r="OWK1" s="935"/>
      <c r="OWL1" s="935"/>
      <c r="OWM1" s="935"/>
      <c r="OWN1" s="935"/>
      <c r="OWO1" s="935"/>
      <c r="OWP1" s="935"/>
      <c r="OWQ1" s="935"/>
      <c r="OWR1" s="935"/>
      <c r="OWS1" s="935"/>
      <c r="OWT1" s="935"/>
      <c r="OWU1" s="935"/>
      <c r="OWV1" s="935"/>
      <c r="OWW1" s="935"/>
      <c r="OWX1" s="935"/>
      <c r="OWY1" s="935"/>
      <c r="OWZ1" s="935"/>
      <c r="OXA1" s="935"/>
      <c r="OXB1" s="935"/>
      <c r="OXC1" s="935"/>
      <c r="OXD1" s="935"/>
      <c r="OXE1" s="935"/>
      <c r="OXF1" s="935"/>
      <c r="OXG1" s="935"/>
      <c r="OXH1" s="935"/>
      <c r="OXI1" s="935"/>
      <c r="OXJ1" s="935"/>
      <c r="OXK1" s="935"/>
      <c r="OXL1" s="935"/>
      <c r="OXM1" s="935"/>
      <c r="OXN1" s="935"/>
      <c r="OXO1" s="935"/>
      <c r="OXP1" s="935"/>
      <c r="OXQ1" s="935"/>
      <c r="OXR1" s="935"/>
      <c r="OXS1" s="935"/>
      <c r="OXT1" s="935"/>
      <c r="OXU1" s="935"/>
      <c r="OXV1" s="935"/>
      <c r="OXW1" s="935"/>
      <c r="OXX1" s="935"/>
      <c r="OXY1" s="935"/>
      <c r="OXZ1" s="935"/>
      <c r="OYA1" s="935"/>
      <c r="OYB1" s="935"/>
      <c r="OYC1" s="935"/>
      <c r="OYD1" s="935"/>
      <c r="OYE1" s="935"/>
      <c r="OYF1" s="935"/>
      <c r="OYG1" s="935"/>
      <c r="OYH1" s="935"/>
      <c r="OYI1" s="935"/>
      <c r="OYJ1" s="935"/>
      <c r="OYK1" s="935"/>
      <c r="OYL1" s="935"/>
      <c r="OYM1" s="935"/>
      <c r="OYN1" s="935"/>
      <c r="OYO1" s="935"/>
      <c r="OYP1" s="935"/>
      <c r="OYQ1" s="935"/>
      <c r="OYR1" s="935"/>
      <c r="OYS1" s="935"/>
      <c r="OYT1" s="935"/>
      <c r="OYU1" s="935"/>
      <c r="OYV1" s="935"/>
      <c r="OYW1" s="935"/>
      <c r="OYX1" s="935"/>
      <c r="OYY1" s="935"/>
      <c r="OYZ1" s="935"/>
      <c r="OZA1" s="935"/>
      <c r="OZB1" s="935"/>
      <c r="OZC1" s="935"/>
      <c r="OZD1" s="935"/>
      <c r="OZE1" s="935"/>
      <c r="OZF1" s="935"/>
      <c r="OZG1" s="935"/>
      <c r="OZH1" s="935"/>
      <c r="OZI1" s="935"/>
      <c r="OZJ1" s="935"/>
      <c r="OZK1" s="935"/>
      <c r="OZL1" s="935"/>
      <c r="OZM1" s="935"/>
      <c r="OZN1" s="935"/>
      <c r="OZO1" s="935"/>
      <c r="OZP1" s="935"/>
      <c r="OZQ1" s="935"/>
      <c r="OZR1" s="935"/>
      <c r="OZS1" s="935"/>
      <c r="OZT1" s="935"/>
      <c r="OZU1" s="935"/>
      <c r="OZV1" s="935"/>
      <c r="OZW1" s="935"/>
      <c r="OZX1" s="935"/>
      <c r="OZY1" s="935"/>
      <c r="OZZ1" s="935"/>
      <c r="PAA1" s="935"/>
      <c r="PAB1" s="935"/>
      <c r="PAC1" s="935"/>
      <c r="PAD1" s="935"/>
      <c r="PAE1" s="935"/>
      <c r="PAF1" s="935"/>
      <c r="PAG1" s="935"/>
      <c r="PAH1" s="935"/>
      <c r="PAI1" s="935"/>
      <c r="PAJ1" s="935"/>
      <c r="PAK1" s="935"/>
      <c r="PAL1" s="935"/>
      <c r="PAM1" s="935"/>
      <c r="PAN1" s="935"/>
      <c r="PAO1" s="935"/>
      <c r="PAP1" s="935"/>
      <c r="PAQ1" s="935"/>
      <c r="PAR1" s="935"/>
      <c r="PAS1" s="935"/>
      <c r="PAT1" s="935"/>
      <c r="PAU1" s="935"/>
      <c r="PAV1" s="935"/>
      <c r="PAW1" s="935"/>
      <c r="PAX1" s="935"/>
      <c r="PAY1" s="935"/>
      <c r="PAZ1" s="935"/>
      <c r="PBA1" s="935"/>
      <c r="PBB1" s="935"/>
      <c r="PBC1" s="935"/>
      <c r="PBD1" s="935"/>
      <c r="PBE1" s="935"/>
      <c r="PBF1" s="935"/>
      <c r="PBG1" s="935"/>
      <c r="PBH1" s="935"/>
      <c r="PBI1" s="935"/>
      <c r="PBJ1" s="935"/>
      <c r="PBK1" s="935"/>
      <c r="PBL1" s="935"/>
      <c r="PBM1" s="935"/>
      <c r="PBN1" s="935"/>
      <c r="PBO1" s="935"/>
      <c r="PBP1" s="935"/>
      <c r="PBQ1" s="935"/>
      <c r="PBR1" s="935"/>
      <c r="PBS1" s="935"/>
      <c r="PBT1" s="935"/>
      <c r="PBU1" s="935"/>
      <c r="PBV1" s="935"/>
      <c r="PBW1" s="935"/>
      <c r="PBX1" s="935"/>
      <c r="PBY1" s="935"/>
      <c r="PBZ1" s="935"/>
      <c r="PCA1" s="935"/>
      <c r="PCB1" s="935"/>
      <c r="PCC1" s="935"/>
      <c r="PCD1" s="935"/>
      <c r="PCE1" s="935"/>
      <c r="PCF1" s="935"/>
      <c r="PCG1" s="935"/>
      <c r="PCH1" s="935"/>
      <c r="PCI1" s="935"/>
      <c r="PCJ1" s="935"/>
      <c r="PCK1" s="935"/>
      <c r="PCL1" s="935"/>
      <c r="PCM1" s="935"/>
      <c r="PCN1" s="935"/>
      <c r="PCO1" s="935"/>
      <c r="PCP1" s="935"/>
      <c r="PCQ1" s="935"/>
      <c r="PCR1" s="935"/>
      <c r="PCS1" s="935"/>
      <c r="PCT1" s="935"/>
      <c r="PCU1" s="935"/>
      <c r="PCV1" s="935"/>
      <c r="PCW1" s="935"/>
      <c r="PCX1" s="935"/>
      <c r="PCY1" s="935"/>
      <c r="PCZ1" s="935"/>
      <c r="PDA1" s="935"/>
      <c r="PDB1" s="935"/>
      <c r="PDC1" s="935"/>
      <c r="PDD1" s="935"/>
      <c r="PDE1" s="935"/>
      <c r="PDF1" s="935"/>
      <c r="PDG1" s="935"/>
      <c r="PDH1" s="935"/>
      <c r="PDI1" s="935"/>
      <c r="PDJ1" s="935"/>
      <c r="PDK1" s="935"/>
      <c r="PDL1" s="935"/>
      <c r="PDM1" s="935"/>
      <c r="PDN1" s="935"/>
      <c r="PDO1" s="935"/>
      <c r="PDP1" s="935"/>
      <c r="PDQ1" s="935"/>
      <c r="PDR1" s="935"/>
      <c r="PDS1" s="935"/>
      <c r="PDT1" s="935"/>
      <c r="PDU1" s="935"/>
      <c r="PDV1" s="935"/>
      <c r="PDW1" s="935"/>
      <c r="PDX1" s="935"/>
      <c r="PDY1" s="935"/>
      <c r="PDZ1" s="935"/>
      <c r="PEA1" s="935"/>
      <c r="PEB1" s="935"/>
      <c r="PEC1" s="935"/>
      <c r="PED1" s="935"/>
      <c r="PEE1" s="935"/>
      <c r="PEF1" s="935"/>
      <c r="PEG1" s="935"/>
      <c r="PEH1" s="935"/>
      <c r="PEI1" s="935"/>
      <c r="PEJ1" s="935"/>
      <c r="PEK1" s="935"/>
      <c r="PEL1" s="935"/>
      <c r="PEM1" s="935"/>
      <c r="PEN1" s="935"/>
      <c r="PEO1" s="935"/>
      <c r="PEP1" s="935"/>
      <c r="PEQ1" s="935"/>
      <c r="PER1" s="935"/>
      <c r="PES1" s="935"/>
      <c r="PET1" s="935"/>
      <c r="PEU1" s="935"/>
      <c r="PEV1" s="935"/>
      <c r="PEW1" s="935"/>
      <c r="PEX1" s="935"/>
      <c r="PEY1" s="935"/>
      <c r="PEZ1" s="935"/>
      <c r="PFA1" s="935"/>
      <c r="PFB1" s="935"/>
      <c r="PFC1" s="935"/>
      <c r="PFD1" s="935"/>
      <c r="PFE1" s="935"/>
      <c r="PFF1" s="935"/>
      <c r="PFG1" s="935"/>
      <c r="PFH1" s="935"/>
      <c r="PFI1" s="935"/>
      <c r="PFJ1" s="935"/>
      <c r="PFK1" s="935"/>
      <c r="PFL1" s="935"/>
      <c r="PFM1" s="935"/>
      <c r="PFN1" s="935"/>
      <c r="PFO1" s="935"/>
      <c r="PFP1" s="935"/>
      <c r="PFQ1" s="935"/>
      <c r="PFR1" s="935"/>
      <c r="PFS1" s="935"/>
      <c r="PFT1" s="935"/>
      <c r="PFU1" s="935"/>
      <c r="PFV1" s="935"/>
      <c r="PFW1" s="935"/>
      <c r="PFX1" s="935"/>
      <c r="PFY1" s="935"/>
      <c r="PFZ1" s="935"/>
      <c r="PGA1" s="935"/>
      <c r="PGB1" s="935"/>
      <c r="PGC1" s="935"/>
      <c r="PGD1" s="935"/>
      <c r="PGE1" s="935"/>
      <c r="PGF1" s="935"/>
      <c r="PGG1" s="935"/>
      <c r="PGH1" s="935"/>
      <c r="PGI1" s="935"/>
      <c r="PGJ1" s="935"/>
      <c r="PGK1" s="935"/>
      <c r="PGL1" s="935"/>
      <c r="PGM1" s="935"/>
      <c r="PGN1" s="935"/>
      <c r="PGO1" s="935"/>
      <c r="PGP1" s="935"/>
      <c r="PGQ1" s="935"/>
      <c r="PGR1" s="935"/>
      <c r="PGS1" s="935"/>
      <c r="PGT1" s="935"/>
      <c r="PGU1" s="935"/>
      <c r="PGV1" s="935"/>
      <c r="PGW1" s="935"/>
      <c r="PGX1" s="935"/>
      <c r="PGY1" s="935"/>
      <c r="PGZ1" s="935"/>
      <c r="PHA1" s="935"/>
      <c r="PHB1" s="935"/>
      <c r="PHC1" s="935"/>
      <c r="PHD1" s="935"/>
      <c r="PHE1" s="935"/>
      <c r="PHF1" s="935"/>
      <c r="PHG1" s="935"/>
      <c r="PHH1" s="935"/>
      <c r="PHI1" s="935"/>
      <c r="PHJ1" s="935"/>
      <c r="PHK1" s="935"/>
      <c r="PHL1" s="935"/>
      <c r="PHM1" s="935"/>
      <c r="PHN1" s="935"/>
      <c r="PHO1" s="935"/>
      <c r="PHP1" s="935"/>
      <c r="PHQ1" s="935"/>
      <c r="PHR1" s="935"/>
      <c r="PHS1" s="935"/>
      <c r="PHT1" s="935"/>
      <c r="PHU1" s="935"/>
      <c r="PHV1" s="935"/>
      <c r="PHW1" s="935"/>
      <c r="PHX1" s="935"/>
      <c r="PHY1" s="935"/>
      <c r="PHZ1" s="935"/>
      <c r="PIA1" s="935"/>
      <c r="PIB1" s="935"/>
      <c r="PIC1" s="935"/>
      <c r="PID1" s="935"/>
      <c r="PIE1" s="935"/>
      <c r="PIF1" s="935"/>
      <c r="PIG1" s="935"/>
      <c r="PIH1" s="935"/>
      <c r="PII1" s="935"/>
      <c r="PIJ1" s="935"/>
      <c r="PIK1" s="935"/>
      <c r="PIL1" s="935"/>
      <c r="PIM1" s="935"/>
      <c r="PIN1" s="935"/>
      <c r="PIO1" s="935"/>
      <c r="PIP1" s="935"/>
      <c r="PIQ1" s="935"/>
      <c r="PIR1" s="935"/>
      <c r="PIS1" s="935"/>
      <c r="PIT1" s="935"/>
      <c r="PIU1" s="935"/>
      <c r="PIV1" s="935"/>
      <c r="PIW1" s="935"/>
      <c r="PIX1" s="935"/>
      <c r="PIY1" s="935"/>
      <c r="PIZ1" s="935"/>
      <c r="PJA1" s="935"/>
      <c r="PJB1" s="935"/>
      <c r="PJC1" s="935"/>
      <c r="PJD1" s="935"/>
      <c r="PJE1" s="935"/>
      <c r="PJF1" s="935"/>
      <c r="PJG1" s="935"/>
      <c r="PJH1" s="935"/>
      <c r="PJI1" s="935"/>
      <c r="PJJ1" s="935"/>
      <c r="PJK1" s="935"/>
      <c r="PJL1" s="935"/>
      <c r="PJM1" s="935"/>
      <c r="PJN1" s="935"/>
      <c r="PJO1" s="935"/>
      <c r="PJP1" s="935"/>
      <c r="PJQ1" s="935"/>
      <c r="PJR1" s="935"/>
      <c r="PJS1" s="935"/>
      <c r="PJT1" s="935"/>
      <c r="PJU1" s="935"/>
      <c r="PJV1" s="935"/>
      <c r="PJW1" s="935"/>
      <c r="PJX1" s="935"/>
      <c r="PJY1" s="935"/>
      <c r="PJZ1" s="935"/>
      <c r="PKA1" s="935"/>
      <c r="PKB1" s="935"/>
      <c r="PKC1" s="935"/>
      <c r="PKD1" s="935"/>
      <c r="PKE1" s="935"/>
      <c r="PKF1" s="935"/>
      <c r="PKG1" s="935"/>
      <c r="PKH1" s="935"/>
      <c r="PKI1" s="935"/>
      <c r="PKJ1" s="935"/>
      <c r="PKK1" s="935"/>
      <c r="PKL1" s="935"/>
      <c r="PKM1" s="935"/>
      <c r="PKN1" s="935"/>
      <c r="PKO1" s="935"/>
      <c r="PKP1" s="935"/>
      <c r="PKQ1" s="935"/>
      <c r="PKR1" s="935"/>
      <c r="PKS1" s="935"/>
      <c r="PKT1" s="935"/>
      <c r="PKU1" s="935"/>
      <c r="PKV1" s="935"/>
      <c r="PKW1" s="935"/>
      <c r="PKX1" s="935"/>
      <c r="PKY1" s="935"/>
      <c r="PKZ1" s="935"/>
      <c r="PLA1" s="935"/>
      <c r="PLB1" s="935"/>
      <c r="PLC1" s="935"/>
      <c r="PLD1" s="935"/>
      <c r="PLE1" s="935"/>
      <c r="PLF1" s="935"/>
      <c r="PLG1" s="935"/>
      <c r="PLH1" s="935"/>
      <c r="PLI1" s="935"/>
      <c r="PLJ1" s="935"/>
      <c r="PLK1" s="935"/>
      <c r="PLL1" s="935"/>
      <c r="PLM1" s="935"/>
      <c r="PLN1" s="935"/>
      <c r="PLO1" s="935"/>
      <c r="PLP1" s="935"/>
      <c r="PLQ1" s="935"/>
      <c r="PLR1" s="935"/>
      <c r="PLS1" s="935"/>
      <c r="PLT1" s="935"/>
      <c r="PLU1" s="935"/>
      <c r="PLV1" s="935"/>
      <c r="PLW1" s="935"/>
      <c r="PLX1" s="935"/>
      <c r="PLY1" s="935"/>
      <c r="PLZ1" s="935"/>
      <c r="PMA1" s="935"/>
      <c r="PMB1" s="935"/>
      <c r="PMC1" s="935"/>
      <c r="PMD1" s="935"/>
      <c r="PME1" s="935"/>
      <c r="PMF1" s="935"/>
      <c r="PMG1" s="935"/>
      <c r="PMH1" s="935"/>
      <c r="PMI1" s="935"/>
      <c r="PMJ1" s="935"/>
      <c r="PMK1" s="935"/>
      <c r="PML1" s="935"/>
      <c r="PMM1" s="935"/>
      <c r="PMN1" s="935"/>
      <c r="PMO1" s="935"/>
      <c r="PMP1" s="935"/>
      <c r="PMQ1" s="935"/>
      <c r="PMR1" s="935"/>
      <c r="PMS1" s="935"/>
      <c r="PMT1" s="935"/>
      <c r="PMU1" s="935"/>
      <c r="PMV1" s="935"/>
      <c r="PMW1" s="935"/>
      <c r="PMX1" s="935"/>
      <c r="PMY1" s="935"/>
      <c r="PMZ1" s="935"/>
      <c r="PNA1" s="935"/>
      <c r="PNB1" s="935"/>
      <c r="PNC1" s="935"/>
      <c r="PND1" s="935"/>
      <c r="PNE1" s="935"/>
      <c r="PNF1" s="935"/>
      <c r="PNG1" s="935"/>
      <c r="PNH1" s="935"/>
      <c r="PNI1" s="935"/>
      <c r="PNJ1" s="935"/>
      <c r="PNK1" s="935"/>
      <c r="PNL1" s="935"/>
      <c r="PNM1" s="935"/>
      <c r="PNN1" s="935"/>
      <c r="PNO1" s="935"/>
      <c r="PNP1" s="935"/>
      <c r="PNQ1" s="935"/>
      <c r="PNR1" s="935"/>
      <c r="PNS1" s="935"/>
      <c r="PNT1" s="935"/>
      <c r="PNU1" s="935"/>
      <c r="PNV1" s="935"/>
      <c r="PNW1" s="935"/>
      <c r="PNX1" s="935"/>
      <c r="PNY1" s="935"/>
      <c r="PNZ1" s="935"/>
      <c r="POA1" s="935"/>
      <c r="POB1" s="935"/>
      <c r="POC1" s="935"/>
      <c r="POD1" s="935"/>
      <c r="POE1" s="935"/>
      <c r="POF1" s="935"/>
      <c r="POG1" s="935"/>
      <c r="POH1" s="935"/>
      <c r="POI1" s="935"/>
      <c r="POJ1" s="935"/>
      <c r="POK1" s="935"/>
      <c r="POL1" s="935"/>
      <c r="POM1" s="935"/>
      <c r="PON1" s="935"/>
      <c r="POO1" s="935"/>
      <c r="POP1" s="935"/>
      <c r="POQ1" s="935"/>
      <c r="POR1" s="935"/>
      <c r="POS1" s="935"/>
      <c r="POT1" s="935"/>
      <c r="POU1" s="935"/>
      <c r="POV1" s="935"/>
      <c r="POW1" s="935"/>
      <c r="POX1" s="935"/>
      <c r="POY1" s="935"/>
      <c r="POZ1" s="935"/>
      <c r="PPA1" s="935"/>
      <c r="PPB1" s="935"/>
      <c r="PPC1" s="935"/>
      <c r="PPD1" s="935"/>
      <c r="PPE1" s="935"/>
      <c r="PPF1" s="935"/>
      <c r="PPG1" s="935"/>
      <c r="PPH1" s="935"/>
      <c r="PPI1" s="935"/>
      <c r="PPJ1" s="935"/>
      <c r="PPK1" s="935"/>
      <c r="PPL1" s="935"/>
      <c r="PPM1" s="935"/>
      <c r="PPN1" s="935"/>
      <c r="PPO1" s="935"/>
      <c r="PPP1" s="935"/>
      <c r="PPQ1" s="935"/>
      <c r="PPR1" s="935"/>
      <c r="PPS1" s="935"/>
      <c r="PPT1" s="935"/>
      <c r="PPU1" s="935"/>
      <c r="PPV1" s="935"/>
      <c r="PPW1" s="935"/>
      <c r="PPX1" s="935"/>
      <c r="PPY1" s="935"/>
      <c r="PPZ1" s="935"/>
      <c r="PQA1" s="935"/>
      <c r="PQB1" s="935"/>
      <c r="PQC1" s="935"/>
      <c r="PQD1" s="935"/>
      <c r="PQE1" s="935"/>
      <c r="PQF1" s="935"/>
      <c r="PQG1" s="935"/>
      <c r="PQH1" s="935"/>
      <c r="PQI1" s="935"/>
      <c r="PQJ1" s="935"/>
      <c r="PQK1" s="935"/>
      <c r="PQL1" s="935"/>
      <c r="PQM1" s="935"/>
      <c r="PQN1" s="935"/>
      <c r="PQO1" s="935"/>
      <c r="PQP1" s="935"/>
      <c r="PQQ1" s="935"/>
      <c r="PQR1" s="935"/>
      <c r="PQS1" s="935"/>
      <c r="PQT1" s="935"/>
      <c r="PQU1" s="935"/>
      <c r="PQV1" s="935"/>
      <c r="PQW1" s="935"/>
      <c r="PQX1" s="935"/>
      <c r="PQY1" s="935"/>
      <c r="PQZ1" s="935"/>
      <c r="PRA1" s="935"/>
      <c r="PRB1" s="935"/>
      <c r="PRC1" s="935"/>
      <c r="PRD1" s="935"/>
      <c r="PRE1" s="935"/>
      <c r="PRF1" s="935"/>
      <c r="PRG1" s="935"/>
      <c r="PRH1" s="935"/>
      <c r="PRI1" s="935"/>
      <c r="PRJ1" s="935"/>
      <c r="PRK1" s="935"/>
      <c r="PRL1" s="935"/>
      <c r="PRM1" s="935"/>
      <c r="PRN1" s="935"/>
      <c r="PRO1" s="935"/>
      <c r="PRP1" s="935"/>
      <c r="PRQ1" s="935"/>
      <c r="PRR1" s="935"/>
      <c r="PRS1" s="935"/>
      <c r="PRT1" s="935"/>
      <c r="PRU1" s="935"/>
      <c r="PRV1" s="935"/>
      <c r="PRW1" s="935"/>
      <c r="PRX1" s="935"/>
      <c r="PRY1" s="935"/>
      <c r="PRZ1" s="935"/>
      <c r="PSA1" s="935"/>
      <c r="PSB1" s="935"/>
      <c r="PSC1" s="935"/>
      <c r="PSD1" s="935"/>
      <c r="PSE1" s="935"/>
      <c r="PSF1" s="935"/>
      <c r="PSG1" s="935"/>
      <c r="PSH1" s="935"/>
      <c r="PSI1" s="935"/>
      <c r="PSJ1" s="935"/>
      <c r="PSK1" s="935"/>
      <c r="PSL1" s="935"/>
      <c r="PSM1" s="935"/>
      <c r="PSN1" s="935"/>
      <c r="PSO1" s="935"/>
      <c r="PSP1" s="935"/>
      <c r="PSQ1" s="935"/>
      <c r="PSR1" s="935"/>
      <c r="PSS1" s="935"/>
      <c r="PST1" s="935"/>
      <c r="PSU1" s="935"/>
      <c r="PSV1" s="935"/>
      <c r="PSW1" s="935"/>
      <c r="PSX1" s="935"/>
      <c r="PSY1" s="935"/>
      <c r="PSZ1" s="935"/>
      <c r="PTA1" s="935"/>
      <c r="PTB1" s="935"/>
      <c r="PTC1" s="935"/>
      <c r="PTD1" s="935"/>
      <c r="PTE1" s="935"/>
      <c r="PTF1" s="935"/>
      <c r="PTG1" s="935"/>
      <c r="PTH1" s="935"/>
      <c r="PTI1" s="935"/>
      <c r="PTJ1" s="935"/>
      <c r="PTK1" s="935"/>
      <c r="PTL1" s="935"/>
      <c r="PTM1" s="935"/>
      <c r="PTN1" s="935"/>
      <c r="PTO1" s="935"/>
      <c r="PTP1" s="935"/>
      <c r="PTQ1" s="935"/>
      <c r="PTR1" s="935"/>
      <c r="PTS1" s="935"/>
      <c r="PTT1" s="935"/>
      <c r="PTU1" s="935"/>
      <c r="PTV1" s="935"/>
      <c r="PTW1" s="935"/>
      <c r="PTX1" s="935"/>
      <c r="PTY1" s="935"/>
      <c r="PTZ1" s="935"/>
      <c r="PUA1" s="935"/>
      <c r="PUB1" s="935"/>
      <c r="PUC1" s="935"/>
      <c r="PUD1" s="935"/>
      <c r="PUE1" s="935"/>
      <c r="PUF1" s="935"/>
      <c r="PUG1" s="935"/>
      <c r="PUH1" s="935"/>
      <c r="PUI1" s="935"/>
      <c r="PUJ1" s="935"/>
      <c r="PUK1" s="935"/>
      <c r="PUL1" s="935"/>
      <c r="PUM1" s="935"/>
      <c r="PUN1" s="935"/>
      <c r="PUO1" s="935"/>
      <c r="PUP1" s="935"/>
      <c r="PUQ1" s="935"/>
      <c r="PUR1" s="935"/>
      <c r="PUS1" s="935"/>
      <c r="PUT1" s="935"/>
      <c r="PUU1" s="935"/>
      <c r="PUV1" s="935"/>
      <c r="PUW1" s="935"/>
      <c r="PUX1" s="935"/>
      <c r="PUY1" s="935"/>
      <c r="PUZ1" s="935"/>
      <c r="PVA1" s="935"/>
      <c r="PVB1" s="935"/>
      <c r="PVC1" s="935"/>
      <c r="PVD1" s="935"/>
      <c r="PVE1" s="935"/>
      <c r="PVF1" s="935"/>
      <c r="PVG1" s="935"/>
      <c r="PVH1" s="935"/>
      <c r="PVI1" s="935"/>
      <c r="PVJ1" s="935"/>
      <c r="PVK1" s="935"/>
      <c r="PVL1" s="935"/>
      <c r="PVM1" s="935"/>
      <c r="PVN1" s="935"/>
      <c r="PVO1" s="935"/>
      <c r="PVP1" s="935"/>
      <c r="PVQ1" s="935"/>
      <c r="PVR1" s="935"/>
      <c r="PVS1" s="935"/>
      <c r="PVT1" s="935"/>
      <c r="PVU1" s="935"/>
      <c r="PVV1" s="935"/>
      <c r="PVW1" s="935"/>
      <c r="PVX1" s="935"/>
      <c r="PVY1" s="935"/>
      <c r="PVZ1" s="935"/>
      <c r="PWA1" s="935"/>
      <c r="PWB1" s="935"/>
      <c r="PWC1" s="935"/>
      <c r="PWD1" s="935"/>
      <c r="PWE1" s="935"/>
      <c r="PWF1" s="935"/>
      <c r="PWG1" s="935"/>
      <c r="PWH1" s="935"/>
      <c r="PWI1" s="935"/>
      <c r="PWJ1" s="935"/>
      <c r="PWK1" s="935"/>
      <c r="PWL1" s="935"/>
      <c r="PWM1" s="935"/>
      <c r="PWN1" s="935"/>
      <c r="PWO1" s="935"/>
      <c r="PWP1" s="935"/>
      <c r="PWQ1" s="935"/>
      <c r="PWR1" s="935"/>
      <c r="PWS1" s="935"/>
      <c r="PWT1" s="935"/>
      <c r="PWU1" s="935"/>
      <c r="PWV1" s="935"/>
      <c r="PWW1" s="935"/>
      <c r="PWX1" s="935"/>
      <c r="PWY1" s="935"/>
      <c r="PWZ1" s="935"/>
      <c r="PXA1" s="935"/>
      <c r="PXB1" s="935"/>
      <c r="PXC1" s="935"/>
      <c r="PXD1" s="935"/>
      <c r="PXE1" s="935"/>
      <c r="PXF1" s="935"/>
      <c r="PXG1" s="935"/>
      <c r="PXH1" s="935"/>
      <c r="PXI1" s="935"/>
      <c r="PXJ1" s="935"/>
      <c r="PXK1" s="935"/>
      <c r="PXL1" s="935"/>
      <c r="PXM1" s="935"/>
      <c r="PXN1" s="935"/>
      <c r="PXO1" s="935"/>
      <c r="PXP1" s="935"/>
      <c r="PXQ1" s="935"/>
      <c r="PXR1" s="935"/>
      <c r="PXS1" s="935"/>
      <c r="PXT1" s="935"/>
      <c r="PXU1" s="935"/>
      <c r="PXV1" s="935"/>
      <c r="PXW1" s="935"/>
      <c r="PXX1" s="935"/>
      <c r="PXY1" s="935"/>
      <c r="PXZ1" s="935"/>
      <c r="PYA1" s="935"/>
      <c r="PYB1" s="935"/>
      <c r="PYC1" s="935"/>
      <c r="PYD1" s="935"/>
      <c r="PYE1" s="935"/>
      <c r="PYF1" s="935"/>
      <c r="PYG1" s="935"/>
      <c r="PYH1" s="935"/>
      <c r="PYI1" s="935"/>
      <c r="PYJ1" s="935"/>
      <c r="PYK1" s="935"/>
      <c r="PYL1" s="935"/>
      <c r="PYM1" s="935"/>
      <c r="PYN1" s="935"/>
      <c r="PYO1" s="935"/>
      <c r="PYP1" s="935"/>
      <c r="PYQ1" s="935"/>
      <c r="PYR1" s="935"/>
      <c r="PYS1" s="935"/>
      <c r="PYT1" s="935"/>
      <c r="PYU1" s="935"/>
      <c r="PYV1" s="935"/>
      <c r="PYW1" s="935"/>
      <c r="PYX1" s="935"/>
      <c r="PYY1" s="935"/>
      <c r="PYZ1" s="935"/>
      <c r="PZA1" s="935"/>
      <c r="PZB1" s="935"/>
      <c r="PZC1" s="935"/>
      <c r="PZD1" s="935"/>
      <c r="PZE1" s="935"/>
      <c r="PZF1" s="935"/>
      <c r="PZG1" s="935"/>
      <c r="PZH1" s="935"/>
      <c r="PZI1" s="935"/>
      <c r="PZJ1" s="935"/>
      <c r="PZK1" s="935"/>
      <c r="PZL1" s="935"/>
      <c r="PZM1" s="935"/>
      <c r="PZN1" s="935"/>
      <c r="PZO1" s="935"/>
      <c r="PZP1" s="935"/>
      <c r="PZQ1" s="935"/>
      <c r="PZR1" s="935"/>
      <c r="PZS1" s="935"/>
      <c r="PZT1" s="935"/>
      <c r="PZU1" s="935"/>
      <c r="PZV1" s="935"/>
      <c r="PZW1" s="935"/>
      <c r="PZX1" s="935"/>
      <c r="PZY1" s="935"/>
      <c r="PZZ1" s="935"/>
      <c r="QAA1" s="935"/>
      <c r="QAB1" s="935"/>
      <c r="QAC1" s="935"/>
      <c r="QAD1" s="935"/>
      <c r="QAE1" s="935"/>
      <c r="QAF1" s="935"/>
      <c r="QAG1" s="935"/>
      <c r="QAH1" s="935"/>
      <c r="QAI1" s="935"/>
      <c r="QAJ1" s="935"/>
      <c r="QAK1" s="935"/>
      <c r="QAL1" s="935"/>
      <c r="QAM1" s="935"/>
      <c r="QAN1" s="935"/>
      <c r="QAO1" s="935"/>
      <c r="QAP1" s="935"/>
      <c r="QAQ1" s="935"/>
      <c r="QAR1" s="935"/>
      <c r="QAS1" s="935"/>
      <c r="QAT1" s="935"/>
      <c r="QAU1" s="935"/>
      <c r="QAV1" s="935"/>
      <c r="QAW1" s="935"/>
      <c r="QAX1" s="935"/>
      <c r="QAY1" s="935"/>
      <c r="QAZ1" s="935"/>
      <c r="QBA1" s="935"/>
      <c r="QBB1" s="935"/>
      <c r="QBC1" s="935"/>
      <c r="QBD1" s="935"/>
      <c r="QBE1" s="935"/>
      <c r="QBF1" s="935"/>
      <c r="QBG1" s="935"/>
      <c r="QBH1" s="935"/>
      <c r="QBI1" s="935"/>
      <c r="QBJ1" s="935"/>
      <c r="QBK1" s="935"/>
      <c r="QBL1" s="935"/>
      <c r="QBM1" s="935"/>
      <c r="QBN1" s="935"/>
      <c r="QBO1" s="935"/>
      <c r="QBP1" s="935"/>
      <c r="QBQ1" s="935"/>
      <c r="QBR1" s="935"/>
      <c r="QBS1" s="935"/>
      <c r="QBT1" s="935"/>
      <c r="QBU1" s="935"/>
      <c r="QBV1" s="935"/>
      <c r="QBW1" s="935"/>
      <c r="QBX1" s="935"/>
      <c r="QBY1" s="935"/>
      <c r="QBZ1" s="935"/>
      <c r="QCA1" s="935"/>
      <c r="QCB1" s="935"/>
      <c r="QCC1" s="935"/>
      <c r="QCD1" s="935"/>
      <c r="QCE1" s="935"/>
      <c r="QCF1" s="935"/>
      <c r="QCG1" s="935"/>
      <c r="QCH1" s="935"/>
      <c r="QCI1" s="935"/>
      <c r="QCJ1" s="935"/>
      <c r="QCK1" s="935"/>
      <c r="QCL1" s="935"/>
      <c r="QCM1" s="935"/>
      <c r="QCN1" s="935"/>
      <c r="QCO1" s="935"/>
      <c r="QCP1" s="935"/>
      <c r="QCQ1" s="935"/>
      <c r="QCR1" s="935"/>
      <c r="QCS1" s="935"/>
      <c r="QCT1" s="935"/>
      <c r="QCU1" s="935"/>
      <c r="QCV1" s="935"/>
      <c r="QCW1" s="935"/>
      <c r="QCX1" s="935"/>
      <c r="QCY1" s="935"/>
      <c r="QCZ1" s="935"/>
      <c r="QDA1" s="935"/>
      <c r="QDB1" s="935"/>
      <c r="QDC1" s="935"/>
      <c r="QDD1" s="935"/>
      <c r="QDE1" s="935"/>
      <c r="QDF1" s="935"/>
      <c r="QDG1" s="935"/>
      <c r="QDH1" s="935"/>
      <c r="QDI1" s="935"/>
      <c r="QDJ1" s="935"/>
      <c r="QDK1" s="935"/>
      <c r="QDL1" s="935"/>
      <c r="QDM1" s="935"/>
      <c r="QDN1" s="935"/>
      <c r="QDO1" s="935"/>
      <c r="QDP1" s="935"/>
      <c r="QDQ1" s="935"/>
      <c r="QDR1" s="935"/>
      <c r="QDS1" s="935"/>
      <c r="QDT1" s="935"/>
      <c r="QDU1" s="935"/>
      <c r="QDV1" s="935"/>
      <c r="QDW1" s="935"/>
      <c r="QDX1" s="935"/>
      <c r="QDY1" s="935"/>
      <c r="QDZ1" s="935"/>
      <c r="QEA1" s="935"/>
      <c r="QEB1" s="935"/>
      <c r="QEC1" s="935"/>
      <c r="QED1" s="935"/>
      <c r="QEE1" s="935"/>
      <c r="QEF1" s="935"/>
      <c r="QEG1" s="935"/>
      <c r="QEH1" s="935"/>
      <c r="QEI1" s="935"/>
      <c r="QEJ1" s="935"/>
      <c r="QEK1" s="935"/>
      <c r="QEL1" s="935"/>
      <c r="QEM1" s="935"/>
      <c r="QEN1" s="935"/>
      <c r="QEO1" s="935"/>
      <c r="QEP1" s="935"/>
      <c r="QEQ1" s="935"/>
      <c r="QER1" s="935"/>
      <c r="QES1" s="935"/>
      <c r="QET1" s="935"/>
      <c r="QEU1" s="935"/>
      <c r="QEV1" s="935"/>
      <c r="QEW1" s="935"/>
      <c r="QEX1" s="935"/>
      <c r="QEY1" s="935"/>
      <c r="QEZ1" s="935"/>
      <c r="QFA1" s="935"/>
      <c r="QFB1" s="935"/>
      <c r="QFC1" s="935"/>
      <c r="QFD1" s="935"/>
      <c r="QFE1" s="935"/>
      <c r="QFF1" s="935"/>
      <c r="QFG1" s="935"/>
      <c r="QFH1" s="935"/>
      <c r="QFI1" s="935"/>
      <c r="QFJ1" s="935"/>
      <c r="QFK1" s="935"/>
      <c r="QFL1" s="935"/>
      <c r="QFM1" s="935"/>
      <c r="QFN1" s="935"/>
      <c r="QFO1" s="935"/>
      <c r="QFP1" s="935"/>
      <c r="QFQ1" s="935"/>
      <c r="QFR1" s="935"/>
      <c r="QFS1" s="935"/>
      <c r="QFT1" s="935"/>
      <c r="QFU1" s="935"/>
      <c r="QFV1" s="935"/>
      <c r="QFW1" s="935"/>
      <c r="QFX1" s="935"/>
      <c r="QFY1" s="935"/>
      <c r="QFZ1" s="935"/>
      <c r="QGA1" s="935"/>
      <c r="QGB1" s="935"/>
      <c r="QGC1" s="935"/>
      <c r="QGD1" s="935"/>
      <c r="QGE1" s="935"/>
      <c r="QGF1" s="935"/>
      <c r="QGG1" s="935"/>
      <c r="QGH1" s="935"/>
      <c r="QGI1" s="935"/>
      <c r="QGJ1" s="935"/>
      <c r="QGK1" s="935"/>
      <c r="QGL1" s="935"/>
      <c r="QGM1" s="935"/>
      <c r="QGN1" s="935"/>
      <c r="QGO1" s="935"/>
      <c r="QGP1" s="935"/>
      <c r="QGQ1" s="935"/>
      <c r="QGR1" s="935"/>
      <c r="QGS1" s="935"/>
      <c r="QGT1" s="935"/>
      <c r="QGU1" s="935"/>
      <c r="QGV1" s="935"/>
      <c r="QGW1" s="935"/>
      <c r="QGX1" s="935"/>
      <c r="QGY1" s="935"/>
      <c r="QGZ1" s="935"/>
      <c r="QHA1" s="935"/>
      <c r="QHB1" s="935"/>
      <c r="QHC1" s="935"/>
      <c r="QHD1" s="935"/>
      <c r="QHE1" s="935"/>
      <c r="QHF1" s="935"/>
      <c r="QHG1" s="935"/>
      <c r="QHH1" s="935"/>
      <c r="QHI1" s="935"/>
      <c r="QHJ1" s="935"/>
      <c r="QHK1" s="935"/>
      <c r="QHL1" s="935"/>
      <c r="QHM1" s="935"/>
      <c r="QHN1" s="935"/>
      <c r="QHO1" s="935"/>
      <c r="QHP1" s="935"/>
      <c r="QHQ1" s="935"/>
      <c r="QHR1" s="935"/>
      <c r="QHS1" s="935"/>
      <c r="QHT1" s="935"/>
      <c r="QHU1" s="935"/>
      <c r="QHV1" s="935"/>
      <c r="QHW1" s="935"/>
      <c r="QHX1" s="935"/>
      <c r="QHY1" s="935"/>
      <c r="QHZ1" s="935"/>
      <c r="QIA1" s="935"/>
      <c r="QIB1" s="935"/>
      <c r="QIC1" s="935"/>
      <c r="QID1" s="935"/>
      <c r="QIE1" s="935"/>
      <c r="QIF1" s="935"/>
      <c r="QIG1" s="935"/>
      <c r="QIH1" s="935"/>
      <c r="QII1" s="935"/>
      <c r="QIJ1" s="935"/>
      <c r="QIK1" s="935"/>
      <c r="QIL1" s="935"/>
      <c r="QIM1" s="935"/>
      <c r="QIN1" s="935"/>
      <c r="QIO1" s="935"/>
      <c r="QIP1" s="935"/>
      <c r="QIQ1" s="935"/>
      <c r="QIR1" s="935"/>
      <c r="QIS1" s="935"/>
      <c r="QIT1" s="935"/>
      <c r="QIU1" s="935"/>
      <c r="QIV1" s="935"/>
      <c r="QIW1" s="935"/>
      <c r="QIX1" s="935"/>
      <c r="QIY1" s="935"/>
      <c r="QIZ1" s="935"/>
      <c r="QJA1" s="935"/>
      <c r="QJB1" s="935"/>
      <c r="QJC1" s="935"/>
      <c r="QJD1" s="935"/>
      <c r="QJE1" s="935"/>
      <c r="QJF1" s="935"/>
      <c r="QJG1" s="935"/>
      <c r="QJH1" s="935"/>
      <c r="QJI1" s="935"/>
      <c r="QJJ1" s="935"/>
      <c r="QJK1" s="935"/>
      <c r="QJL1" s="935"/>
      <c r="QJM1" s="935"/>
      <c r="QJN1" s="935"/>
      <c r="QJO1" s="935"/>
      <c r="QJP1" s="935"/>
      <c r="QJQ1" s="935"/>
      <c r="QJR1" s="935"/>
      <c r="QJS1" s="935"/>
      <c r="QJT1" s="935"/>
      <c r="QJU1" s="935"/>
      <c r="QJV1" s="935"/>
      <c r="QJW1" s="935"/>
      <c r="QJX1" s="935"/>
      <c r="QJY1" s="935"/>
      <c r="QJZ1" s="935"/>
      <c r="QKA1" s="935"/>
      <c r="QKB1" s="935"/>
      <c r="QKC1" s="935"/>
      <c r="QKD1" s="935"/>
      <c r="QKE1" s="935"/>
      <c r="QKF1" s="935"/>
      <c r="QKG1" s="935"/>
      <c r="QKH1" s="935"/>
      <c r="QKI1" s="935"/>
      <c r="QKJ1" s="935"/>
      <c r="QKK1" s="935"/>
      <c r="QKL1" s="935"/>
      <c r="QKM1" s="935"/>
      <c r="QKN1" s="935"/>
      <c r="QKO1" s="935"/>
      <c r="QKP1" s="935"/>
      <c r="QKQ1" s="935"/>
      <c r="QKR1" s="935"/>
      <c r="QKS1" s="935"/>
      <c r="QKT1" s="935"/>
      <c r="QKU1" s="935"/>
      <c r="QKV1" s="935"/>
      <c r="QKW1" s="935"/>
      <c r="QKX1" s="935"/>
      <c r="QKY1" s="935"/>
      <c r="QKZ1" s="935"/>
      <c r="QLA1" s="935"/>
      <c r="QLB1" s="935"/>
      <c r="QLC1" s="935"/>
      <c r="QLD1" s="935"/>
      <c r="QLE1" s="935"/>
      <c r="QLF1" s="935"/>
      <c r="QLG1" s="935"/>
      <c r="QLH1" s="935"/>
      <c r="QLI1" s="935"/>
      <c r="QLJ1" s="935"/>
      <c r="QLK1" s="935"/>
      <c r="QLL1" s="935"/>
      <c r="QLM1" s="935"/>
      <c r="QLN1" s="935"/>
      <c r="QLO1" s="935"/>
      <c r="QLP1" s="935"/>
      <c r="QLQ1" s="935"/>
      <c r="QLR1" s="935"/>
      <c r="QLS1" s="935"/>
      <c r="QLT1" s="935"/>
      <c r="QLU1" s="935"/>
      <c r="QLV1" s="935"/>
      <c r="QLW1" s="935"/>
      <c r="QLX1" s="935"/>
      <c r="QLY1" s="935"/>
      <c r="QLZ1" s="935"/>
      <c r="QMA1" s="935"/>
      <c r="QMB1" s="935"/>
      <c r="QMC1" s="935"/>
      <c r="QMD1" s="935"/>
      <c r="QME1" s="935"/>
      <c r="QMF1" s="935"/>
      <c r="QMG1" s="935"/>
      <c r="QMH1" s="935"/>
      <c r="QMI1" s="935"/>
      <c r="QMJ1" s="935"/>
      <c r="QMK1" s="935"/>
      <c r="QML1" s="935"/>
      <c r="QMM1" s="935"/>
      <c r="QMN1" s="935"/>
      <c r="QMO1" s="935"/>
      <c r="QMP1" s="935"/>
      <c r="QMQ1" s="935"/>
      <c r="QMR1" s="935"/>
      <c r="QMS1" s="935"/>
      <c r="QMT1" s="935"/>
      <c r="QMU1" s="935"/>
      <c r="QMV1" s="935"/>
      <c r="QMW1" s="935"/>
      <c r="QMX1" s="935"/>
      <c r="QMY1" s="935"/>
      <c r="QMZ1" s="935"/>
      <c r="QNA1" s="935"/>
      <c r="QNB1" s="935"/>
      <c r="QNC1" s="935"/>
      <c r="QND1" s="935"/>
      <c r="QNE1" s="935"/>
      <c r="QNF1" s="935"/>
      <c r="QNG1" s="935"/>
      <c r="QNH1" s="935"/>
      <c r="QNI1" s="935"/>
      <c r="QNJ1" s="935"/>
      <c r="QNK1" s="935"/>
      <c r="QNL1" s="935"/>
      <c r="QNM1" s="935"/>
      <c r="QNN1" s="935"/>
      <c r="QNO1" s="935"/>
      <c r="QNP1" s="935"/>
      <c r="QNQ1" s="935"/>
      <c r="QNR1" s="935"/>
      <c r="QNS1" s="935"/>
      <c r="QNT1" s="935"/>
      <c r="QNU1" s="935"/>
      <c r="QNV1" s="935"/>
      <c r="QNW1" s="935"/>
      <c r="QNX1" s="935"/>
      <c r="QNY1" s="935"/>
      <c r="QNZ1" s="935"/>
      <c r="QOA1" s="935"/>
      <c r="QOB1" s="935"/>
      <c r="QOC1" s="935"/>
      <c r="QOD1" s="935"/>
      <c r="QOE1" s="935"/>
      <c r="QOF1" s="935"/>
      <c r="QOG1" s="935"/>
      <c r="QOH1" s="935"/>
      <c r="QOI1" s="935"/>
      <c r="QOJ1" s="935"/>
      <c r="QOK1" s="935"/>
      <c r="QOL1" s="935"/>
      <c r="QOM1" s="935"/>
      <c r="QON1" s="935"/>
      <c r="QOO1" s="935"/>
      <c r="QOP1" s="935"/>
      <c r="QOQ1" s="935"/>
      <c r="QOR1" s="935"/>
      <c r="QOS1" s="935"/>
      <c r="QOT1" s="935"/>
      <c r="QOU1" s="935"/>
      <c r="QOV1" s="935"/>
      <c r="QOW1" s="935"/>
      <c r="QOX1" s="935"/>
      <c r="QOY1" s="935"/>
      <c r="QOZ1" s="935"/>
      <c r="QPA1" s="935"/>
      <c r="QPB1" s="935"/>
      <c r="QPC1" s="935"/>
      <c r="QPD1" s="935"/>
      <c r="QPE1" s="935"/>
      <c r="QPF1" s="935"/>
      <c r="QPG1" s="935"/>
      <c r="QPH1" s="935"/>
      <c r="QPI1" s="935"/>
      <c r="QPJ1" s="935"/>
      <c r="QPK1" s="935"/>
      <c r="QPL1" s="935"/>
      <c r="QPM1" s="935"/>
      <c r="QPN1" s="935"/>
      <c r="QPO1" s="935"/>
      <c r="QPP1" s="935"/>
      <c r="QPQ1" s="935"/>
      <c r="QPR1" s="935"/>
      <c r="QPS1" s="935"/>
      <c r="QPT1" s="935"/>
      <c r="QPU1" s="935"/>
      <c r="QPV1" s="935"/>
      <c r="QPW1" s="935"/>
      <c r="QPX1" s="935"/>
      <c r="QPY1" s="935"/>
      <c r="QPZ1" s="935"/>
      <c r="QQA1" s="935"/>
      <c r="QQB1" s="935"/>
      <c r="QQC1" s="935"/>
      <c r="QQD1" s="935"/>
      <c r="QQE1" s="935"/>
      <c r="QQF1" s="935"/>
      <c r="QQG1" s="935"/>
      <c r="QQH1" s="935"/>
      <c r="QQI1" s="935"/>
      <c r="QQJ1" s="935"/>
      <c r="QQK1" s="935"/>
      <c r="QQL1" s="935"/>
      <c r="QQM1" s="935"/>
      <c r="QQN1" s="935"/>
      <c r="QQO1" s="935"/>
      <c r="QQP1" s="935"/>
      <c r="QQQ1" s="935"/>
      <c r="QQR1" s="935"/>
      <c r="QQS1" s="935"/>
      <c r="QQT1" s="935"/>
      <c r="QQU1" s="935"/>
      <c r="QQV1" s="935"/>
      <c r="QQW1" s="935"/>
      <c r="QQX1" s="935"/>
      <c r="QQY1" s="935"/>
      <c r="QQZ1" s="935"/>
      <c r="QRA1" s="935"/>
      <c r="QRB1" s="935"/>
      <c r="QRC1" s="935"/>
      <c r="QRD1" s="935"/>
      <c r="QRE1" s="935"/>
      <c r="QRF1" s="935"/>
      <c r="QRG1" s="935"/>
      <c r="QRH1" s="935"/>
      <c r="QRI1" s="935"/>
      <c r="QRJ1" s="935"/>
      <c r="QRK1" s="935"/>
      <c r="QRL1" s="935"/>
      <c r="QRM1" s="935"/>
      <c r="QRN1" s="935"/>
      <c r="QRO1" s="935"/>
      <c r="QRP1" s="935"/>
      <c r="QRQ1" s="935"/>
      <c r="QRR1" s="935"/>
      <c r="QRS1" s="935"/>
      <c r="QRT1" s="935"/>
      <c r="QRU1" s="935"/>
      <c r="QRV1" s="935"/>
      <c r="QRW1" s="935"/>
      <c r="QRX1" s="935"/>
      <c r="QRY1" s="935"/>
      <c r="QRZ1" s="935"/>
      <c r="QSA1" s="935"/>
      <c r="QSB1" s="935"/>
      <c r="QSC1" s="935"/>
      <c r="QSD1" s="935"/>
      <c r="QSE1" s="935"/>
      <c r="QSF1" s="935"/>
      <c r="QSG1" s="935"/>
      <c r="QSH1" s="935"/>
      <c r="QSI1" s="935"/>
      <c r="QSJ1" s="935"/>
      <c r="QSK1" s="935"/>
      <c r="QSL1" s="935"/>
      <c r="QSM1" s="935"/>
      <c r="QSN1" s="935"/>
      <c r="QSO1" s="935"/>
      <c r="QSP1" s="935"/>
      <c r="QSQ1" s="935"/>
      <c r="QSR1" s="935"/>
      <c r="QSS1" s="935"/>
      <c r="QST1" s="935"/>
      <c r="QSU1" s="935"/>
      <c r="QSV1" s="935"/>
      <c r="QSW1" s="935"/>
      <c r="QSX1" s="935"/>
      <c r="QSY1" s="935"/>
      <c r="QSZ1" s="935"/>
      <c r="QTA1" s="935"/>
      <c r="QTB1" s="935"/>
      <c r="QTC1" s="935"/>
      <c r="QTD1" s="935"/>
      <c r="QTE1" s="935"/>
      <c r="QTF1" s="935"/>
      <c r="QTG1" s="935"/>
      <c r="QTH1" s="935"/>
      <c r="QTI1" s="935"/>
      <c r="QTJ1" s="935"/>
      <c r="QTK1" s="935"/>
      <c r="QTL1" s="935"/>
      <c r="QTM1" s="935"/>
      <c r="QTN1" s="935"/>
      <c r="QTO1" s="935"/>
      <c r="QTP1" s="935"/>
      <c r="QTQ1" s="935"/>
      <c r="QTR1" s="935"/>
      <c r="QTS1" s="935"/>
      <c r="QTT1" s="935"/>
      <c r="QTU1" s="935"/>
      <c r="QTV1" s="935"/>
      <c r="QTW1" s="935"/>
      <c r="QTX1" s="935"/>
      <c r="QTY1" s="935"/>
      <c r="QTZ1" s="935"/>
      <c r="QUA1" s="935"/>
      <c r="QUB1" s="935"/>
      <c r="QUC1" s="935"/>
      <c r="QUD1" s="935"/>
      <c r="QUE1" s="935"/>
      <c r="QUF1" s="935"/>
      <c r="QUG1" s="935"/>
      <c r="QUH1" s="935"/>
      <c r="QUI1" s="935"/>
      <c r="QUJ1" s="935"/>
      <c r="QUK1" s="935"/>
      <c r="QUL1" s="935"/>
      <c r="QUM1" s="935"/>
      <c r="QUN1" s="935"/>
      <c r="QUO1" s="935"/>
      <c r="QUP1" s="935"/>
      <c r="QUQ1" s="935"/>
      <c r="QUR1" s="935"/>
      <c r="QUS1" s="935"/>
      <c r="QUT1" s="935"/>
      <c r="QUU1" s="935"/>
      <c r="QUV1" s="935"/>
      <c r="QUW1" s="935"/>
      <c r="QUX1" s="935"/>
      <c r="QUY1" s="935"/>
      <c r="QUZ1" s="935"/>
      <c r="QVA1" s="935"/>
      <c r="QVB1" s="935"/>
      <c r="QVC1" s="935"/>
      <c r="QVD1" s="935"/>
      <c r="QVE1" s="935"/>
      <c r="QVF1" s="935"/>
      <c r="QVG1" s="935"/>
      <c r="QVH1" s="935"/>
      <c r="QVI1" s="935"/>
      <c r="QVJ1" s="935"/>
      <c r="QVK1" s="935"/>
      <c r="QVL1" s="935"/>
      <c r="QVM1" s="935"/>
      <c r="QVN1" s="935"/>
      <c r="QVO1" s="935"/>
      <c r="QVP1" s="935"/>
      <c r="QVQ1" s="935"/>
      <c r="QVR1" s="935"/>
      <c r="QVS1" s="935"/>
      <c r="QVT1" s="935"/>
      <c r="QVU1" s="935"/>
      <c r="QVV1" s="935"/>
      <c r="QVW1" s="935"/>
      <c r="QVX1" s="935"/>
      <c r="QVY1" s="935"/>
      <c r="QVZ1" s="935"/>
      <c r="QWA1" s="935"/>
      <c r="QWB1" s="935"/>
      <c r="QWC1" s="935"/>
      <c r="QWD1" s="935"/>
      <c r="QWE1" s="935"/>
      <c r="QWF1" s="935"/>
      <c r="QWG1" s="935"/>
      <c r="QWH1" s="935"/>
      <c r="QWI1" s="935"/>
      <c r="QWJ1" s="935"/>
      <c r="QWK1" s="935"/>
      <c r="QWL1" s="935"/>
      <c r="QWM1" s="935"/>
      <c r="QWN1" s="935"/>
      <c r="QWO1" s="935"/>
      <c r="QWP1" s="935"/>
      <c r="QWQ1" s="935"/>
      <c r="QWR1" s="935"/>
      <c r="QWS1" s="935"/>
      <c r="QWT1" s="935"/>
      <c r="QWU1" s="935"/>
      <c r="QWV1" s="935"/>
      <c r="QWW1" s="935"/>
      <c r="QWX1" s="935"/>
      <c r="QWY1" s="935"/>
      <c r="QWZ1" s="935"/>
      <c r="QXA1" s="935"/>
      <c r="QXB1" s="935"/>
      <c r="QXC1" s="935"/>
      <c r="QXD1" s="935"/>
      <c r="QXE1" s="935"/>
      <c r="QXF1" s="935"/>
      <c r="QXG1" s="935"/>
      <c r="QXH1" s="935"/>
      <c r="QXI1" s="935"/>
      <c r="QXJ1" s="935"/>
      <c r="QXK1" s="935"/>
      <c r="QXL1" s="935"/>
      <c r="QXM1" s="935"/>
      <c r="QXN1" s="935"/>
      <c r="QXO1" s="935"/>
      <c r="QXP1" s="935"/>
      <c r="QXQ1" s="935"/>
      <c r="QXR1" s="935"/>
      <c r="QXS1" s="935"/>
      <c r="QXT1" s="935"/>
      <c r="QXU1" s="935"/>
      <c r="QXV1" s="935"/>
      <c r="QXW1" s="935"/>
      <c r="QXX1" s="935"/>
      <c r="QXY1" s="935"/>
      <c r="QXZ1" s="935"/>
      <c r="QYA1" s="935"/>
      <c r="QYB1" s="935"/>
      <c r="QYC1" s="935"/>
      <c r="QYD1" s="935"/>
      <c r="QYE1" s="935"/>
      <c r="QYF1" s="935"/>
      <c r="QYG1" s="935"/>
      <c r="QYH1" s="935"/>
      <c r="QYI1" s="935"/>
      <c r="QYJ1" s="935"/>
      <c r="QYK1" s="935"/>
      <c r="QYL1" s="935"/>
      <c r="QYM1" s="935"/>
      <c r="QYN1" s="935"/>
      <c r="QYO1" s="935"/>
      <c r="QYP1" s="935"/>
      <c r="QYQ1" s="935"/>
      <c r="QYR1" s="935"/>
      <c r="QYS1" s="935"/>
      <c r="QYT1" s="935"/>
      <c r="QYU1" s="935"/>
      <c r="QYV1" s="935"/>
      <c r="QYW1" s="935"/>
      <c r="QYX1" s="935"/>
      <c r="QYY1" s="935"/>
      <c r="QYZ1" s="935"/>
      <c r="QZA1" s="935"/>
      <c r="QZB1" s="935"/>
      <c r="QZC1" s="935"/>
      <c r="QZD1" s="935"/>
      <c r="QZE1" s="935"/>
      <c r="QZF1" s="935"/>
      <c r="QZG1" s="935"/>
      <c r="QZH1" s="935"/>
      <c r="QZI1" s="935"/>
      <c r="QZJ1" s="935"/>
      <c r="QZK1" s="935"/>
      <c r="QZL1" s="935"/>
      <c r="QZM1" s="935"/>
      <c r="QZN1" s="935"/>
      <c r="QZO1" s="935"/>
      <c r="QZP1" s="935"/>
      <c r="QZQ1" s="935"/>
      <c r="QZR1" s="935"/>
      <c r="QZS1" s="935"/>
      <c r="QZT1" s="935"/>
      <c r="QZU1" s="935"/>
      <c r="QZV1" s="935"/>
      <c r="QZW1" s="935"/>
      <c r="QZX1" s="935"/>
      <c r="QZY1" s="935"/>
      <c r="QZZ1" s="935"/>
      <c r="RAA1" s="935"/>
      <c r="RAB1" s="935"/>
      <c r="RAC1" s="935"/>
      <c r="RAD1" s="935"/>
      <c r="RAE1" s="935"/>
      <c r="RAF1" s="935"/>
      <c r="RAG1" s="935"/>
      <c r="RAH1" s="935"/>
      <c r="RAI1" s="935"/>
      <c r="RAJ1" s="935"/>
      <c r="RAK1" s="935"/>
      <c r="RAL1" s="935"/>
      <c r="RAM1" s="935"/>
      <c r="RAN1" s="935"/>
      <c r="RAO1" s="935"/>
      <c r="RAP1" s="935"/>
      <c r="RAQ1" s="935"/>
      <c r="RAR1" s="935"/>
      <c r="RAS1" s="935"/>
      <c r="RAT1" s="935"/>
      <c r="RAU1" s="935"/>
      <c r="RAV1" s="935"/>
      <c r="RAW1" s="935"/>
      <c r="RAX1" s="935"/>
      <c r="RAY1" s="935"/>
      <c r="RAZ1" s="935"/>
      <c r="RBA1" s="935"/>
      <c r="RBB1" s="935"/>
      <c r="RBC1" s="935"/>
      <c r="RBD1" s="935"/>
      <c r="RBE1" s="935"/>
      <c r="RBF1" s="935"/>
      <c r="RBG1" s="935"/>
      <c r="RBH1" s="935"/>
      <c r="RBI1" s="935"/>
      <c r="RBJ1" s="935"/>
      <c r="RBK1" s="935"/>
      <c r="RBL1" s="935"/>
      <c r="RBM1" s="935"/>
      <c r="RBN1" s="935"/>
      <c r="RBO1" s="935"/>
      <c r="RBP1" s="935"/>
      <c r="RBQ1" s="935"/>
      <c r="RBR1" s="935"/>
      <c r="RBS1" s="935"/>
      <c r="RBT1" s="935"/>
      <c r="RBU1" s="935"/>
      <c r="RBV1" s="935"/>
      <c r="RBW1" s="935"/>
      <c r="RBX1" s="935"/>
      <c r="RBY1" s="935"/>
      <c r="RBZ1" s="935"/>
      <c r="RCA1" s="935"/>
      <c r="RCB1" s="935"/>
      <c r="RCC1" s="935"/>
      <c r="RCD1" s="935"/>
      <c r="RCE1" s="935"/>
      <c r="RCF1" s="935"/>
      <c r="RCG1" s="935"/>
      <c r="RCH1" s="935"/>
      <c r="RCI1" s="935"/>
      <c r="RCJ1" s="935"/>
      <c r="RCK1" s="935"/>
      <c r="RCL1" s="935"/>
      <c r="RCM1" s="935"/>
      <c r="RCN1" s="935"/>
      <c r="RCO1" s="935"/>
      <c r="RCP1" s="935"/>
      <c r="RCQ1" s="935"/>
      <c r="RCR1" s="935"/>
      <c r="RCS1" s="935"/>
      <c r="RCT1" s="935"/>
      <c r="RCU1" s="935"/>
      <c r="RCV1" s="935"/>
      <c r="RCW1" s="935"/>
      <c r="RCX1" s="935"/>
      <c r="RCY1" s="935"/>
      <c r="RCZ1" s="935"/>
      <c r="RDA1" s="935"/>
      <c r="RDB1" s="935"/>
      <c r="RDC1" s="935"/>
      <c r="RDD1" s="935"/>
      <c r="RDE1" s="935"/>
      <c r="RDF1" s="935"/>
      <c r="RDG1" s="935"/>
      <c r="RDH1" s="935"/>
      <c r="RDI1" s="935"/>
      <c r="RDJ1" s="935"/>
      <c r="RDK1" s="935"/>
      <c r="RDL1" s="935"/>
      <c r="RDM1" s="935"/>
      <c r="RDN1" s="935"/>
      <c r="RDO1" s="935"/>
      <c r="RDP1" s="935"/>
      <c r="RDQ1" s="935"/>
      <c r="RDR1" s="935"/>
      <c r="RDS1" s="935"/>
      <c r="RDT1" s="935"/>
      <c r="RDU1" s="935"/>
      <c r="RDV1" s="935"/>
      <c r="RDW1" s="935"/>
      <c r="RDX1" s="935"/>
      <c r="RDY1" s="935"/>
      <c r="RDZ1" s="935"/>
      <c r="REA1" s="935"/>
      <c r="REB1" s="935"/>
      <c r="REC1" s="935"/>
      <c r="RED1" s="935"/>
      <c r="REE1" s="935"/>
      <c r="REF1" s="935"/>
      <c r="REG1" s="935"/>
      <c r="REH1" s="935"/>
      <c r="REI1" s="935"/>
      <c r="REJ1" s="935"/>
      <c r="REK1" s="935"/>
      <c r="REL1" s="935"/>
      <c r="REM1" s="935"/>
      <c r="REN1" s="935"/>
      <c r="REO1" s="935"/>
      <c r="REP1" s="935"/>
      <c r="REQ1" s="935"/>
      <c r="RER1" s="935"/>
      <c r="RES1" s="935"/>
      <c r="RET1" s="935"/>
      <c r="REU1" s="935"/>
      <c r="REV1" s="935"/>
      <c r="REW1" s="935"/>
      <c r="REX1" s="935"/>
      <c r="REY1" s="935"/>
      <c r="REZ1" s="935"/>
      <c r="RFA1" s="935"/>
      <c r="RFB1" s="935"/>
      <c r="RFC1" s="935"/>
      <c r="RFD1" s="935"/>
      <c r="RFE1" s="935"/>
      <c r="RFF1" s="935"/>
      <c r="RFG1" s="935"/>
      <c r="RFH1" s="935"/>
      <c r="RFI1" s="935"/>
      <c r="RFJ1" s="935"/>
      <c r="RFK1" s="935"/>
      <c r="RFL1" s="935"/>
      <c r="RFM1" s="935"/>
      <c r="RFN1" s="935"/>
      <c r="RFO1" s="935"/>
      <c r="RFP1" s="935"/>
      <c r="RFQ1" s="935"/>
      <c r="RFR1" s="935"/>
      <c r="RFS1" s="935"/>
      <c r="RFT1" s="935"/>
      <c r="RFU1" s="935"/>
      <c r="RFV1" s="935"/>
      <c r="RFW1" s="935"/>
      <c r="RFX1" s="935"/>
      <c r="RFY1" s="935"/>
      <c r="RFZ1" s="935"/>
      <c r="RGA1" s="935"/>
      <c r="RGB1" s="935"/>
      <c r="RGC1" s="935"/>
      <c r="RGD1" s="935"/>
      <c r="RGE1" s="935"/>
      <c r="RGF1" s="935"/>
      <c r="RGG1" s="935"/>
      <c r="RGH1" s="935"/>
      <c r="RGI1" s="935"/>
      <c r="RGJ1" s="935"/>
      <c r="RGK1" s="935"/>
      <c r="RGL1" s="935"/>
      <c r="RGM1" s="935"/>
      <c r="RGN1" s="935"/>
      <c r="RGO1" s="935"/>
      <c r="RGP1" s="935"/>
      <c r="RGQ1" s="935"/>
      <c r="RGR1" s="935"/>
      <c r="RGS1" s="935"/>
      <c r="RGT1" s="935"/>
      <c r="RGU1" s="935"/>
      <c r="RGV1" s="935"/>
      <c r="RGW1" s="935"/>
      <c r="RGX1" s="935"/>
      <c r="RGY1" s="935"/>
      <c r="RGZ1" s="935"/>
      <c r="RHA1" s="935"/>
      <c r="RHB1" s="935"/>
      <c r="RHC1" s="935"/>
      <c r="RHD1" s="935"/>
      <c r="RHE1" s="935"/>
      <c r="RHF1" s="935"/>
      <c r="RHG1" s="935"/>
      <c r="RHH1" s="935"/>
      <c r="RHI1" s="935"/>
      <c r="RHJ1" s="935"/>
      <c r="RHK1" s="935"/>
      <c r="RHL1" s="935"/>
      <c r="RHM1" s="935"/>
      <c r="RHN1" s="935"/>
      <c r="RHO1" s="935"/>
      <c r="RHP1" s="935"/>
      <c r="RHQ1" s="935"/>
      <c r="RHR1" s="935"/>
      <c r="RHS1" s="935"/>
      <c r="RHT1" s="935"/>
      <c r="RHU1" s="935"/>
      <c r="RHV1" s="935"/>
      <c r="RHW1" s="935"/>
      <c r="RHX1" s="935"/>
      <c r="RHY1" s="935"/>
      <c r="RHZ1" s="935"/>
      <c r="RIA1" s="935"/>
      <c r="RIB1" s="935"/>
      <c r="RIC1" s="935"/>
      <c r="RID1" s="935"/>
      <c r="RIE1" s="935"/>
      <c r="RIF1" s="935"/>
      <c r="RIG1" s="935"/>
      <c r="RIH1" s="935"/>
      <c r="RII1" s="935"/>
      <c r="RIJ1" s="935"/>
      <c r="RIK1" s="935"/>
      <c r="RIL1" s="935"/>
      <c r="RIM1" s="935"/>
      <c r="RIN1" s="935"/>
      <c r="RIO1" s="935"/>
      <c r="RIP1" s="935"/>
      <c r="RIQ1" s="935"/>
      <c r="RIR1" s="935"/>
      <c r="RIS1" s="935"/>
      <c r="RIT1" s="935"/>
      <c r="RIU1" s="935"/>
      <c r="RIV1" s="935"/>
      <c r="RIW1" s="935"/>
      <c r="RIX1" s="935"/>
      <c r="RIY1" s="935"/>
      <c r="RIZ1" s="935"/>
      <c r="RJA1" s="935"/>
      <c r="RJB1" s="935"/>
      <c r="RJC1" s="935"/>
      <c r="RJD1" s="935"/>
      <c r="RJE1" s="935"/>
      <c r="RJF1" s="935"/>
      <c r="RJG1" s="935"/>
      <c r="RJH1" s="935"/>
      <c r="RJI1" s="935"/>
      <c r="RJJ1" s="935"/>
      <c r="RJK1" s="935"/>
      <c r="RJL1" s="935"/>
      <c r="RJM1" s="935"/>
      <c r="RJN1" s="935"/>
      <c r="RJO1" s="935"/>
      <c r="RJP1" s="935"/>
      <c r="RJQ1" s="935"/>
      <c r="RJR1" s="935"/>
      <c r="RJS1" s="935"/>
      <c r="RJT1" s="935"/>
      <c r="RJU1" s="935"/>
      <c r="RJV1" s="935"/>
      <c r="RJW1" s="935"/>
      <c r="RJX1" s="935"/>
      <c r="RJY1" s="935"/>
      <c r="RJZ1" s="935"/>
      <c r="RKA1" s="935"/>
      <c r="RKB1" s="935"/>
      <c r="RKC1" s="935"/>
      <c r="RKD1" s="935"/>
      <c r="RKE1" s="935"/>
      <c r="RKF1" s="935"/>
      <c r="RKG1" s="935"/>
      <c r="RKH1" s="935"/>
      <c r="RKI1" s="935"/>
      <c r="RKJ1" s="935"/>
      <c r="RKK1" s="935"/>
      <c r="RKL1" s="935"/>
      <c r="RKM1" s="935"/>
      <c r="RKN1" s="935"/>
      <c r="RKO1" s="935"/>
      <c r="RKP1" s="935"/>
      <c r="RKQ1" s="935"/>
      <c r="RKR1" s="935"/>
      <c r="RKS1" s="935"/>
      <c r="RKT1" s="935"/>
      <c r="RKU1" s="935"/>
      <c r="RKV1" s="935"/>
      <c r="RKW1" s="935"/>
      <c r="RKX1" s="935"/>
      <c r="RKY1" s="935"/>
      <c r="RKZ1" s="935"/>
      <c r="RLA1" s="935"/>
      <c r="RLB1" s="935"/>
      <c r="RLC1" s="935"/>
      <c r="RLD1" s="935"/>
      <c r="RLE1" s="935"/>
      <c r="RLF1" s="935"/>
      <c r="RLG1" s="935"/>
      <c r="RLH1" s="935"/>
      <c r="RLI1" s="935"/>
      <c r="RLJ1" s="935"/>
      <c r="RLK1" s="935"/>
      <c r="RLL1" s="935"/>
      <c r="RLM1" s="935"/>
      <c r="RLN1" s="935"/>
      <c r="RLO1" s="935"/>
      <c r="RLP1" s="935"/>
      <c r="RLQ1" s="935"/>
      <c r="RLR1" s="935"/>
      <c r="RLS1" s="935"/>
      <c r="RLT1" s="935"/>
      <c r="RLU1" s="935"/>
      <c r="RLV1" s="935"/>
      <c r="RLW1" s="935"/>
      <c r="RLX1" s="935"/>
      <c r="RLY1" s="935"/>
      <c r="RLZ1" s="935"/>
      <c r="RMA1" s="935"/>
      <c r="RMB1" s="935"/>
      <c r="RMC1" s="935"/>
      <c r="RMD1" s="935"/>
      <c r="RME1" s="935"/>
      <c r="RMF1" s="935"/>
      <c r="RMG1" s="935"/>
      <c r="RMH1" s="935"/>
      <c r="RMI1" s="935"/>
      <c r="RMJ1" s="935"/>
      <c r="RMK1" s="935"/>
      <c r="RML1" s="935"/>
      <c r="RMM1" s="935"/>
      <c r="RMN1" s="935"/>
      <c r="RMO1" s="935"/>
      <c r="RMP1" s="935"/>
      <c r="RMQ1" s="935"/>
      <c r="RMR1" s="935"/>
      <c r="RMS1" s="935"/>
      <c r="RMT1" s="935"/>
      <c r="RMU1" s="935"/>
      <c r="RMV1" s="935"/>
      <c r="RMW1" s="935"/>
      <c r="RMX1" s="935"/>
      <c r="RMY1" s="935"/>
      <c r="RMZ1" s="935"/>
      <c r="RNA1" s="935"/>
      <c r="RNB1" s="935"/>
      <c r="RNC1" s="935"/>
      <c r="RND1" s="935"/>
      <c r="RNE1" s="935"/>
      <c r="RNF1" s="935"/>
      <c r="RNG1" s="935"/>
      <c r="RNH1" s="935"/>
      <c r="RNI1" s="935"/>
      <c r="RNJ1" s="935"/>
      <c r="RNK1" s="935"/>
      <c r="RNL1" s="935"/>
      <c r="RNM1" s="935"/>
      <c r="RNN1" s="935"/>
      <c r="RNO1" s="935"/>
      <c r="RNP1" s="935"/>
      <c r="RNQ1" s="935"/>
      <c r="RNR1" s="935"/>
      <c r="RNS1" s="935"/>
      <c r="RNT1" s="935"/>
      <c r="RNU1" s="935"/>
      <c r="RNV1" s="935"/>
      <c r="RNW1" s="935"/>
      <c r="RNX1" s="935"/>
      <c r="RNY1" s="935"/>
      <c r="RNZ1" s="935"/>
      <c r="ROA1" s="935"/>
      <c r="ROB1" s="935"/>
      <c r="ROC1" s="935"/>
      <c r="ROD1" s="935"/>
      <c r="ROE1" s="935"/>
      <c r="ROF1" s="935"/>
      <c r="ROG1" s="935"/>
      <c r="ROH1" s="935"/>
      <c r="ROI1" s="935"/>
      <c r="ROJ1" s="935"/>
      <c r="ROK1" s="935"/>
      <c r="ROL1" s="935"/>
      <c r="ROM1" s="935"/>
      <c r="RON1" s="935"/>
      <c r="ROO1" s="935"/>
      <c r="ROP1" s="935"/>
      <c r="ROQ1" s="935"/>
      <c r="ROR1" s="935"/>
      <c r="ROS1" s="935"/>
      <c r="ROT1" s="935"/>
      <c r="ROU1" s="935"/>
      <c r="ROV1" s="935"/>
      <c r="ROW1" s="935"/>
      <c r="ROX1" s="935"/>
      <c r="ROY1" s="935"/>
      <c r="ROZ1" s="935"/>
      <c r="RPA1" s="935"/>
      <c r="RPB1" s="935"/>
      <c r="RPC1" s="935"/>
      <c r="RPD1" s="935"/>
      <c r="RPE1" s="935"/>
      <c r="RPF1" s="935"/>
      <c r="RPG1" s="935"/>
      <c r="RPH1" s="935"/>
      <c r="RPI1" s="935"/>
      <c r="RPJ1" s="935"/>
      <c r="RPK1" s="935"/>
      <c r="RPL1" s="935"/>
      <c r="RPM1" s="935"/>
      <c r="RPN1" s="935"/>
      <c r="RPO1" s="935"/>
      <c r="RPP1" s="935"/>
      <c r="RPQ1" s="935"/>
      <c r="RPR1" s="935"/>
      <c r="RPS1" s="935"/>
      <c r="RPT1" s="935"/>
      <c r="RPU1" s="935"/>
      <c r="RPV1" s="935"/>
      <c r="RPW1" s="935"/>
      <c r="RPX1" s="935"/>
      <c r="RPY1" s="935"/>
      <c r="RPZ1" s="935"/>
      <c r="RQA1" s="935"/>
      <c r="RQB1" s="935"/>
      <c r="RQC1" s="935"/>
      <c r="RQD1" s="935"/>
      <c r="RQE1" s="935"/>
      <c r="RQF1" s="935"/>
      <c r="RQG1" s="935"/>
      <c r="RQH1" s="935"/>
      <c r="RQI1" s="935"/>
      <c r="RQJ1" s="935"/>
      <c r="RQK1" s="935"/>
      <c r="RQL1" s="935"/>
      <c r="RQM1" s="935"/>
      <c r="RQN1" s="935"/>
      <c r="RQO1" s="935"/>
      <c r="RQP1" s="935"/>
      <c r="RQQ1" s="935"/>
      <c r="RQR1" s="935"/>
      <c r="RQS1" s="935"/>
      <c r="RQT1" s="935"/>
      <c r="RQU1" s="935"/>
      <c r="RQV1" s="935"/>
      <c r="RQW1" s="935"/>
      <c r="RQX1" s="935"/>
      <c r="RQY1" s="935"/>
      <c r="RQZ1" s="935"/>
      <c r="RRA1" s="935"/>
      <c r="RRB1" s="935"/>
      <c r="RRC1" s="935"/>
      <c r="RRD1" s="935"/>
      <c r="RRE1" s="935"/>
      <c r="RRF1" s="935"/>
      <c r="RRG1" s="935"/>
      <c r="RRH1" s="935"/>
      <c r="RRI1" s="935"/>
      <c r="RRJ1" s="935"/>
      <c r="RRK1" s="935"/>
      <c r="RRL1" s="935"/>
      <c r="RRM1" s="935"/>
      <c r="RRN1" s="935"/>
      <c r="RRO1" s="935"/>
      <c r="RRP1" s="935"/>
      <c r="RRQ1" s="935"/>
      <c r="RRR1" s="935"/>
      <c r="RRS1" s="935"/>
      <c r="RRT1" s="935"/>
      <c r="RRU1" s="935"/>
      <c r="RRV1" s="935"/>
      <c r="RRW1" s="935"/>
      <c r="RRX1" s="935"/>
      <c r="RRY1" s="935"/>
      <c r="RRZ1" s="935"/>
      <c r="RSA1" s="935"/>
      <c r="RSB1" s="935"/>
      <c r="RSC1" s="935"/>
      <c r="RSD1" s="935"/>
      <c r="RSE1" s="935"/>
      <c r="RSF1" s="935"/>
      <c r="RSG1" s="935"/>
      <c r="RSH1" s="935"/>
      <c r="RSI1" s="935"/>
      <c r="RSJ1" s="935"/>
      <c r="RSK1" s="935"/>
      <c r="RSL1" s="935"/>
      <c r="RSM1" s="935"/>
      <c r="RSN1" s="935"/>
      <c r="RSO1" s="935"/>
      <c r="RSP1" s="935"/>
      <c r="RSQ1" s="935"/>
      <c r="RSR1" s="935"/>
      <c r="RSS1" s="935"/>
      <c r="RST1" s="935"/>
      <c r="RSU1" s="935"/>
      <c r="RSV1" s="935"/>
      <c r="RSW1" s="935"/>
      <c r="RSX1" s="935"/>
      <c r="RSY1" s="935"/>
      <c r="RSZ1" s="935"/>
      <c r="RTA1" s="935"/>
      <c r="RTB1" s="935"/>
      <c r="RTC1" s="935"/>
      <c r="RTD1" s="935"/>
      <c r="RTE1" s="935"/>
      <c r="RTF1" s="935"/>
      <c r="RTG1" s="935"/>
      <c r="RTH1" s="935"/>
      <c r="RTI1" s="935"/>
      <c r="RTJ1" s="935"/>
      <c r="RTK1" s="935"/>
      <c r="RTL1" s="935"/>
      <c r="RTM1" s="935"/>
      <c r="RTN1" s="935"/>
      <c r="RTO1" s="935"/>
      <c r="RTP1" s="935"/>
      <c r="RTQ1" s="935"/>
      <c r="RTR1" s="935"/>
      <c r="RTS1" s="935"/>
      <c r="RTT1" s="935"/>
      <c r="RTU1" s="935"/>
      <c r="RTV1" s="935"/>
      <c r="RTW1" s="935"/>
      <c r="RTX1" s="935"/>
      <c r="RTY1" s="935"/>
      <c r="RTZ1" s="935"/>
      <c r="RUA1" s="935"/>
      <c r="RUB1" s="935"/>
      <c r="RUC1" s="935"/>
      <c r="RUD1" s="935"/>
      <c r="RUE1" s="935"/>
      <c r="RUF1" s="935"/>
      <c r="RUG1" s="935"/>
      <c r="RUH1" s="935"/>
      <c r="RUI1" s="935"/>
      <c r="RUJ1" s="935"/>
      <c r="RUK1" s="935"/>
      <c r="RUL1" s="935"/>
      <c r="RUM1" s="935"/>
      <c r="RUN1" s="935"/>
      <c r="RUO1" s="935"/>
      <c r="RUP1" s="935"/>
      <c r="RUQ1" s="935"/>
      <c r="RUR1" s="935"/>
      <c r="RUS1" s="935"/>
      <c r="RUT1" s="935"/>
      <c r="RUU1" s="935"/>
      <c r="RUV1" s="935"/>
      <c r="RUW1" s="935"/>
      <c r="RUX1" s="935"/>
      <c r="RUY1" s="935"/>
      <c r="RUZ1" s="935"/>
      <c r="RVA1" s="935"/>
      <c r="RVB1" s="935"/>
      <c r="RVC1" s="935"/>
      <c r="RVD1" s="935"/>
      <c r="RVE1" s="935"/>
      <c r="RVF1" s="935"/>
      <c r="RVG1" s="935"/>
      <c r="RVH1" s="935"/>
      <c r="RVI1" s="935"/>
      <c r="RVJ1" s="935"/>
      <c r="RVK1" s="935"/>
      <c r="RVL1" s="935"/>
      <c r="RVM1" s="935"/>
      <c r="RVN1" s="935"/>
      <c r="RVO1" s="935"/>
      <c r="RVP1" s="935"/>
      <c r="RVQ1" s="935"/>
      <c r="RVR1" s="935"/>
      <c r="RVS1" s="935"/>
      <c r="RVT1" s="935"/>
      <c r="RVU1" s="935"/>
      <c r="RVV1" s="935"/>
      <c r="RVW1" s="935"/>
      <c r="RVX1" s="935"/>
      <c r="RVY1" s="935"/>
      <c r="RVZ1" s="935"/>
      <c r="RWA1" s="935"/>
      <c r="RWB1" s="935"/>
      <c r="RWC1" s="935"/>
      <c r="RWD1" s="935"/>
      <c r="RWE1" s="935"/>
      <c r="RWF1" s="935"/>
      <c r="RWG1" s="935"/>
      <c r="RWH1" s="935"/>
      <c r="RWI1" s="935"/>
      <c r="RWJ1" s="935"/>
      <c r="RWK1" s="935"/>
      <c r="RWL1" s="935"/>
      <c r="RWM1" s="935"/>
      <c r="RWN1" s="935"/>
      <c r="RWO1" s="935"/>
      <c r="RWP1" s="935"/>
      <c r="RWQ1" s="935"/>
      <c r="RWR1" s="935"/>
      <c r="RWS1" s="935"/>
      <c r="RWT1" s="935"/>
      <c r="RWU1" s="935"/>
      <c r="RWV1" s="935"/>
      <c r="RWW1" s="935"/>
      <c r="RWX1" s="935"/>
      <c r="RWY1" s="935"/>
      <c r="RWZ1" s="935"/>
      <c r="RXA1" s="935"/>
      <c r="RXB1" s="935"/>
      <c r="RXC1" s="935"/>
      <c r="RXD1" s="935"/>
      <c r="RXE1" s="935"/>
      <c r="RXF1" s="935"/>
      <c r="RXG1" s="935"/>
      <c r="RXH1" s="935"/>
      <c r="RXI1" s="935"/>
      <c r="RXJ1" s="935"/>
      <c r="RXK1" s="935"/>
      <c r="RXL1" s="935"/>
      <c r="RXM1" s="935"/>
      <c r="RXN1" s="935"/>
      <c r="RXO1" s="935"/>
      <c r="RXP1" s="935"/>
      <c r="RXQ1" s="935"/>
      <c r="RXR1" s="935"/>
      <c r="RXS1" s="935"/>
      <c r="RXT1" s="935"/>
      <c r="RXU1" s="935"/>
      <c r="RXV1" s="935"/>
      <c r="RXW1" s="935"/>
      <c r="RXX1" s="935"/>
      <c r="RXY1" s="935"/>
      <c r="RXZ1" s="935"/>
      <c r="RYA1" s="935"/>
      <c r="RYB1" s="935"/>
      <c r="RYC1" s="935"/>
      <c r="RYD1" s="935"/>
      <c r="RYE1" s="935"/>
      <c r="RYF1" s="935"/>
      <c r="RYG1" s="935"/>
      <c r="RYH1" s="935"/>
      <c r="RYI1" s="935"/>
      <c r="RYJ1" s="935"/>
      <c r="RYK1" s="935"/>
      <c r="RYL1" s="935"/>
      <c r="RYM1" s="935"/>
      <c r="RYN1" s="935"/>
      <c r="RYO1" s="935"/>
      <c r="RYP1" s="935"/>
      <c r="RYQ1" s="935"/>
      <c r="RYR1" s="935"/>
      <c r="RYS1" s="935"/>
      <c r="RYT1" s="935"/>
      <c r="RYU1" s="935"/>
      <c r="RYV1" s="935"/>
      <c r="RYW1" s="935"/>
      <c r="RYX1" s="935"/>
      <c r="RYY1" s="935"/>
      <c r="RYZ1" s="935"/>
      <c r="RZA1" s="935"/>
      <c r="RZB1" s="935"/>
      <c r="RZC1" s="935"/>
      <c r="RZD1" s="935"/>
      <c r="RZE1" s="935"/>
      <c r="RZF1" s="935"/>
      <c r="RZG1" s="935"/>
      <c r="RZH1" s="935"/>
      <c r="RZI1" s="935"/>
      <c r="RZJ1" s="935"/>
      <c r="RZK1" s="935"/>
      <c r="RZL1" s="935"/>
      <c r="RZM1" s="935"/>
      <c r="RZN1" s="935"/>
      <c r="RZO1" s="935"/>
      <c r="RZP1" s="935"/>
      <c r="RZQ1" s="935"/>
      <c r="RZR1" s="935"/>
      <c r="RZS1" s="935"/>
      <c r="RZT1" s="935"/>
      <c r="RZU1" s="935"/>
      <c r="RZV1" s="935"/>
      <c r="RZW1" s="935"/>
      <c r="RZX1" s="935"/>
      <c r="RZY1" s="935"/>
      <c r="RZZ1" s="935"/>
      <c r="SAA1" s="935"/>
      <c r="SAB1" s="935"/>
      <c r="SAC1" s="935"/>
      <c r="SAD1" s="935"/>
      <c r="SAE1" s="935"/>
      <c r="SAF1" s="935"/>
      <c r="SAG1" s="935"/>
      <c r="SAH1" s="935"/>
      <c r="SAI1" s="935"/>
      <c r="SAJ1" s="935"/>
      <c r="SAK1" s="935"/>
      <c r="SAL1" s="935"/>
      <c r="SAM1" s="935"/>
      <c r="SAN1" s="935"/>
      <c r="SAO1" s="935"/>
      <c r="SAP1" s="935"/>
      <c r="SAQ1" s="935"/>
      <c r="SAR1" s="935"/>
      <c r="SAS1" s="935"/>
      <c r="SAT1" s="935"/>
      <c r="SAU1" s="935"/>
      <c r="SAV1" s="935"/>
      <c r="SAW1" s="935"/>
      <c r="SAX1" s="935"/>
      <c r="SAY1" s="935"/>
      <c r="SAZ1" s="935"/>
      <c r="SBA1" s="935"/>
      <c r="SBB1" s="935"/>
      <c r="SBC1" s="935"/>
      <c r="SBD1" s="935"/>
      <c r="SBE1" s="935"/>
      <c r="SBF1" s="935"/>
      <c r="SBG1" s="935"/>
      <c r="SBH1" s="935"/>
      <c r="SBI1" s="935"/>
      <c r="SBJ1" s="935"/>
      <c r="SBK1" s="935"/>
      <c r="SBL1" s="935"/>
      <c r="SBM1" s="935"/>
      <c r="SBN1" s="935"/>
      <c r="SBO1" s="935"/>
      <c r="SBP1" s="935"/>
      <c r="SBQ1" s="935"/>
      <c r="SBR1" s="935"/>
      <c r="SBS1" s="935"/>
      <c r="SBT1" s="935"/>
      <c r="SBU1" s="935"/>
      <c r="SBV1" s="935"/>
      <c r="SBW1" s="935"/>
      <c r="SBX1" s="935"/>
      <c r="SBY1" s="935"/>
      <c r="SBZ1" s="935"/>
      <c r="SCA1" s="935"/>
      <c r="SCB1" s="935"/>
      <c r="SCC1" s="935"/>
      <c r="SCD1" s="935"/>
      <c r="SCE1" s="935"/>
      <c r="SCF1" s="935"/>
      <c r="SCG1" s="935"/>
      <c r="SCH1" s="935"/>
      <c r="SCI1" s="935"/>
      <c r="SCJ1" s="935"/>
      <c r="SCK1" s="935"/>
      <c r="SCL1" s="935"/>
      <c r="SCM1" s="935"/>
      <c r="SCN1" s="935"/>
      <c r="SCO1" s="935"/>
      <c r="SCP1" s="935"/>
      <c r="SCQ1" s="935"/>
      <c r="SCR1" s="935"/>
      <c r="SCS1" s="935"/>
      <c r="SCT1" s="935"/>
      <c r="SCU1" s="935"/>
      <c r="SCV1" s="935"/>
      <c r="SCW1" s="935"/>
      <c r="SCX1" s="935"/>
      <c r="SCY1" s="935"/>
      <c r="SCZ1" s="935"/>
      <c r="SDA1" s="935"/>
      <c r="SDB1" s="935"/>
      <c r="SDC1" s="935"/>
      <c r="SDD1" s="935"/>
      <c r="SDE1" s="935"/>
      <c r="SDF1" s="935"/>
      <c r="SDG1" s="935"/>
      <c r="SDH1" s="935"/>
      <c r="SDI1" s="935"/>
      <c r="SDJ1" s="935"/>
      <c r="SDK1" s="935"/>
      <c r="SDL1" s="935"/>
      <c r="SDM1" s="935"/>
      <c r="SDN1" s="935"/>
      <c r="SDO1" s="935"/>
      <c r="SDP1" s="935"/>
      <c r="SDQ1" s="935"/>
      <c r="SDR1" s="935"/>
      <c r="SDS1" s="935"/>
      <c r="SDT1" s="935"/>
      <c r="SDU1" s="935"/>
      <c r="SDV1" s="935"/>
      <c r="SDW1" s="935"/>
      <c r="SDX1" s="935"/>
      <c r="SDY1" s="935"/>
      <c r="SDZ1" s="935"/>
      <c r="SEA1" s="935"/>
      <c r="SEB1" s="935"/>
      <c r="SEC1" s="935"/>
      <c r="SED1" s="935"/>
      <c r="SEE1" s="935"/>
      <c r="SEF1" s="935"/>
      <c r="SEG1" s="935"/>
      <c r="SEH1" s="935"/>
      <c r="SEI1" s="935"/>
      <c r="SEJ1" s="935"/>
      <c r="SEK1" s="935"/>
      <c r="SEL1" s="935"/>
      <c r="SEM1" s="935"/>
      <c r="SEN1" s="935"/>
      <c r="SEO1" s="935"/>
      <c r="SEP1" s="935"/>
      <c r="SEQ1" s="935"/>
      <c r="SER1" s="935"/>
      <c r="SES1" s="935"/>
      <c r="SET1" s="935"/>
      <c r="SEU1" s="935"/>
      <c r="SEV1" s="935"/>
      <c r="SEW1" s="935"/>
      <c r="SEX1" s="935"/>
      <c r="SEY1" s="935"/>
      <c r="SEZ1" s="935"/>
      <c r="SFA1" s="935"/>
      <c r="SFB1" s="935"/>
      <c r="SFC1" s="935"/>
      <c r="SFD1" s="935"/>
      <c r="SFE1" s="935"/>
      <c r="SFF1" s="935"/>
      <c r="SFG1" s="935"/>
      <c r="SFH1" s="935"/>
      <c r="SFI1" s="935"/>
      <c r="SFJ1" s="935"/>
      <c r="SFK1" s="935"/>
      <c r="SFL1" s="935"/>
      <c r="SFM1" s="935"/>
      <c r="SFN1" s="935"/>
      <c r="SFO1" s="935"/>
      <c r="SFP1" s="935"/>
      <c r="SFQ1" s="935"/>
      <c r="SFR1" s="935"/>
      <c r="SFS1" s="935"/>
      <c r="SFT1" s="935"/>
      <c r="SFU1" s="935"/>
      <c r="SFV1" s="935"/>
      <c r="SFW1" s="935"/>
      <c r="SFX1" s="935"/>
      <c r="SFY1" s="935"/>
      <c r="SFZ1" s="935"/>
      <c r="SGA1" s="935"/>
      <c r="SGB1" s="935"/>
      <c r="SGC1" s="935"/>
      <c r="SGD1" s="935"/>
      <c r="SGE1" s="935"/>
      <c r="SGF1" s="935"/>
      <c r="SGG1" s="935"/>
      <c r="SGH1" s="935"/>
      <c r="SGI1" s="935"/>
      <c r="SGJ1" s="935"/>
      <c r="SGK1" s="935"/>
      <c r="SGL1" s="935"/>
      <c r="SGM1" s="935"/>
      <c r="SGN1" s="935"/>
      <c r="SGO1" s="935"/>
      <c r="SGP1" s="935"/>
      <c r="SGQ1" s="935"/>
      <c r="SGR1" s="935"/>
      <c r="SGS1" s="935"/>
      <c r="SGT1" s="935"/>
      <c r="SGU1" s="935"/>
      <c r="SGV1" s="935"/>
      <c r="SGW1" s="935"/>
      <c r="SGX1" s="935"/>
      <c r="SGY1" s="935"/>
      <c r="SGZ1" s="935"/>
      <c r="SHA1" s="935"/>
      <c r="SHB1" s="935"/>
      <c r="SHC1" s="935"/>
      <c r="SHD1" s="935"/>
      <c r="SHE1" s="935"/>
      <c r="SHF1" s="935"/>
      <c r="SHG1" s="935"/>
      <c r="SHH1" s="935"/>
      <c r="SHI1" s="935"/>
      <c r="SHJ1" s="935"/>
      <c r="SHK1" s="935"/>
      <c r="SHL1" s="935"/>
      <c r="SHM1" s="935"/>
      <c r="SHN1" s="935"/>
      <c r="SHO1" s="935"/>
      <c r="SHP1" s="935"/>
      <c r="SHQ1" s="935"/>
      <c r="SHR1" s="935"/>
      <c r="SHS1" s="935"/>
      <c r="SHT1" s="935"/>
      <c r="SHU1" s="935"/>
      <c r="SHV1" s="935"/>
      <c r="SHW1" s="935"/>
      <c r="SHX1" s="935"/>
      <c r="SHY1" s="935"/>
      <c r="SHZ1" s="935"/>
      <c r="SIA1" s="935"/>
      <c r="SIB1" s="935"/>
      <c r="SIC1" s="935"/>
      <c r="SID1" s="935"/>
      <c r="SIE1" s="935"/>
      <c r="SIF1" s="935"/>
      <c r="SIG1" s="935"/>
      <c r="SIH1" s="935"/>
      <c r="SII1" s="935"/>
      <c r="SIJ1" s="935"/>
      <c r="SIK1" s="935"/>
      <c r="SIL1" s="935"/>
      <c r="SIM1" s="935"/>
      <c r="SIN1" s="935"/>
      <c r="SIO1" s="935"/>
      <c r="SIP1" s="935"/>
      <c r="SIQ1" s="935"/>
      <c r="SIR1" s="935"/>
      <c r="SIS1" s="935"/>
      <c r="SIT1" s="935"/>
      <c r="SIU1" s="935"/>
      <c r="SIV1" s="935"/>
      <c r="SIW1" s="935"/>
      <c r="SIX1" s="935"/>
      <c r="SIY1" s="935"/>
      <c r="SIZ1" s="935"/>
      <c r="SJA1" s="935"/>
      <c r="SJB1" s="935"/>
      <c r="SJC1" s="935"/>
      <c r="SJD1" s="935"/>
      <c r="SJE1" s="935"/>
      <c r="SJF1" s="935"/>
      <c r="SJG1" s="935"/>
      <c r="SJH1" s="935"/>
      <c r="SJI1" s="935"/>
      <c r="SJJ1" s="935"/>
      <c r="SJK1" s="935"/>
      <c r="SJL1" s="935"/>
      <c r="SJM1" s="935"/>
      <c r="SJN1" s="935"/>
      <c r="SJO1" s="935"/>
      <c r="SJP1" s="935"/>
      <c r="SJQ1" s="935"/>
      <c r="SJR1" s="935"/>
      <c r="SJS1" s="935"/>
      <c r="SJT1" s="935"/>
      <c r="SJU1" s="935"/>
      <c r="SJV1" s="935"/>
      <c r="SJW1" s="935"/>
      <c r="SJX1" s="935"/>
      <c r="SJY1" s="935"/>
      <c r="SJZ1" s="935"/>
      <c r="SKA1" s="935"/>
      <c r="SKB1" s="935"/>
      <c r="SKC1" s="935"/>
      <c r="SKD1" s="935"/>
      <c r="SKE1" s="935"/>
      <c r="SKF1" s="935"/>
      <c r="SKG1" s="935"/>
      <c r="SKH1" s="935"/>
      <c r="SKI1" s="935"/>
      <c r="SKJ1" s="935"/>
      <c r="SKK1" s="935"/>
      <c r="SKL1" s="935"/>
      <c r="SKM1" s="935"/>
      <c r="SKN1" s="935"/>
      <c r="SKO1" s="935"/>
      <c r="SKP1" s="935"/>
      <c r="SKQ1" s="935"/>
      <c r="SKR1" s="935"/>
      <c r="SKS1" s="935"/>
      <c r="SKT1" s="935"/>
      <c r="SKU1" s="935"/>
      <c r="SKV1" s="935"/>
      <c r="SKW1" s="935"/>
      <c r="SKX1" s="935"/>
      <c r="SKY1" s="935"/>
      <c r="SKZ1" s="935"/>
      <c r="SLA1" s="935"/>
      <c r="SLB1" s="935"/>
      <c r="SLC1" s="935"/>
      <c r="SLD1" s="935"/>
      <c r="SLE1" s="935"/>
      <c r="SLF1" s="935"/>
      <c r="SLG1" s="935"/>
      <c r="SLH1" s="935"/>
      <c r="SLI1" s="935"/>
      <c r="SLJ1" s="935"/>
      <c r="SLK1" s="935"/>
      <c r="SLL1" s="935"/>
      <c r="SLM1" s="935"/>
      <c r="SLN1" s="935"/>
      <c r="SLO1" s="935"/>
      <c r="SLP1" s="935"/>
      <c r="SLQ1" s="935"/>
      <c r="SLR1" s="935"/>
      <c r="SLS1" s="935"/>
      <c r="SLT1" s="935"/>
      <c r="SLU1" s="935"/>
      <c r="SLV1" s="935"/>
      <c r="SLW1" s="935"/>
      <c r="SLX1" s="935"/>
      <c r="SLY1" s="935"/>
      <c r="SLZ1" s="935"/>
      <c r="SMA1" s="935"/>
      <c r="SMB1" s="935"/>
      <c r="SMC1" s="935"/>
      <c r="SMD1" s="935"/>
      <c r="SME1" s="935"/>
      <c r="SMF1" s="935"/>
      <c r="SMG1" s="935"/>
      <c r="SMH1" s="935"/>
      <c r="SMI1" s="935"/>
      <c r="SMJ1" s="935"/>
      <c r="SMK1" s="935"/>
      <c r="SML1" s="935"/>
      <c r="SMM1" s="935"/>
      <c r="SMN1" s="935"/>
      <c r="SMO1" s="935"/>
      <c r="SMP1" s="935"/>
      <c r="SMQ1" s="935"/>
      <c r="SMR1" s="935"/>
      <c r="SMS1" s="935"/>
      <c r="SMT1" s="935"/>
      <c r="SMU1" s="935"/>
      <c r="SMV1" s="935"/>
      <c r="SMW1" s="935"/>
      <c r="SMX1" s="935"/>
      <c r="SMY1" s="935"/>
      <c r="SMZ1" s="935"/>
      <c r="SNA1" s="935"/>
      <c r="SNB1" s="935"/>
      <c r="SNC1" s="935"/>
      <c r="SND1" s="935"/>
      <c r="SNE1" s="935"/>
      <c r="SNF1" s="935"/>
      <c r="SNG1" s="935"/>
      <c r="SNH1" s="935"/>
      <c r="SNI1" s="935"/>
      <c r="SNJ1" s="935"/>
      <c r="SNK1" s="935"/>
      <c r="SNL1" s="935"/>
      <c r="SNM1" s="935"/>
      <c r="SNN1" s="935"/>
      <c r="SNO1" s="935"/>
      <c r="SNP1" s="935"/>
      <c r="SNQ1" s="935"/>
      <c r="SNR1" s="935"/>
      <c r="SNS1" s="935"/>
      <c r="SNT1" s="935"/>
      <c r="SNU1" s="935"/>
      <c r="SNV1" s="935"/>
      <c r="SNW1" s="935"/>
      <c r="SNX1" s="935"/>
      <c r="SNY1" s="935"/>
      <c r="SNZ1" s="935"/>
      <c r="SOA1" s="935"/>
      <c r="SOB1" s="935"/>
      <c r="SOC1" s="935"/>
      <c r="SOD1" s="935"/>
      <c r="SOE1" s="935"/>
      <c r="SOF1" s="935"/>
      <c r="SOG1" s="935"/>
      <c r="SOH1" s="935"/>
      <c r="SOI1" s="935"/>
      <c r="SOJ1" s="935"/>
      <c r="SOK1" s="935"/>
      <c r="SOL1" s="935"/>
      <c r="SOM1" s="935"/>
      <c r="SON1" s="935"/>
      <c r="SOO1" s="935"/>
      <c r="SOP1" s="935"/>
      <c r="SOQ1" s="935"/>
      <c r="SOR1" s="935"/>
      <c r="SOS1" s="935"/>
      <c r="SOT1" s="935"/>
      <c r="SOU1" s="935"/>
      <c r="SOV1" s="935"/>
      <c r="SOW1" s="935"/>
      <c r="SOX1" s="935"/>
      <c r="SOY1" s="935"/>
      <c r="SOZ1" s="935"/>
      <c r="SPA1" s="935"/>
      <c r="SPB1" s="935"/>
      <c r="SPC1" s="935"/>
      <c r="SPD1" s="935"/>
      <c r="SPE1" s="935"/>
      <c r="SPF1" s="935"/>
      <c r="SPG1" s="935"/>
      <c r="SPH1" s="935"/>
      <c r="SPI1" s="935"/>
      <c r="SPJ1" s="935"/>
      <c r="SPK1" s="935"/>
      <c r="SPL1" s="935"/>
      <c r="SPM1" s="935"/>
      <c r="SPN1" s="935"/>
      <c r="SPO1" s="935"/>
      <c r="SPP1" s="935"/>
      <c r="SPQ1" s="935"/>
      <c r="SPR1" s="935"/>
      <c r="SPS1" s="935"/>
      <c r="SPT1" s="935"/>
      <c r="SPU1" s="935"/>
      <c r="SPV1" s="935"/>
      <c r="SPW1" s="935"/>
      <c r="SPX1" s="935"/>
      <c r="SPY1" s="935"/>
      <c r="SPZ1" s="935"/>
      <c r="SQA1" s="935"/>
      <c r="SQB1" s="935"/>
      <c r="SQC1" s="935"/>
      <c r="SQD1" s="935"/>
      <c r="SQE1" s="935"/>
      <c r="SQF1" s="935"/>
      <c r="SQG1" s="935"/>
      <c r="SQH1" s="935"/>
      <c r="SQI1" s="935"/>
      <c r="SQJ1" s="935"/>
      <c r="SQK1" s="935"/>
      <c r="SQL1" s="935"/>
      <c r="SQM1" s="935"/>
      <c r="SQN1" s="935"/>
      <c r="SQO1" s="935"/>
      <c r="SQP1" s="935"/>
      <c r="SQQ1" s="935"/>
      <c r="SQR1" s="935"/>
      <c r="SQS1" s="935"/>
      <c r="SQT1" s="935"/>
      <c r="SQU1" s="935"/>
      <c r="SQV1" s="935"/>
      <c r="SQW1" s="935"/>
      <c r="SQX1" s="935"/>
      <c r="SQY1" s="935"/>
      <c r="SQZ1" s="935"/>
      <c r="SRA1" s="935"/>
      <c r="SRB1" s="935"/>
      <c r="SRC1" s="935"/>
      <c r="SRD1" s="935"/>
      <c r="SRE1" s="935"/>
      <c r="SRF1" s="935"/>
      <c r="SRG1" s="935"/>
      <c r="SRH1" s="935"/>
      <c r="SRI1" s="935"/>
      <c r="SRJ1" s="935"/>
      <c r="SRK1" s="935"/>
      <c r="SRL1" s="935"/>
      <c r="SRM1" s="935"/>
      <c r="SRN1" s="935"/>
      <c r="SRO1" s="935"/>
      <c r="SRP1" s="935"/>
      <c r="SRQ1" s="935"/>
      <c r="SRR1" s="935"/>
      <c r="SRS1" s="935"/>
      <c r="SRT1" s="935"/>
      <c r="SRU1" s="935"/>
      <c r="SRV1" s="935"/>
      <c r="SRW1" s="935"/>
      <c r="SRX1" s="935"/>
      <c r="SRY1" s="935"/>
      <c r="SRZ1" s="935"/>
      <c r="SSA1" s="935"/>
      <c r="SSB1" s="935"/>
      <c r="SSC1" s="935"/>
      <c r="SSD1" s="935"/>
      <c r="SSE1" s="935"/>
      <c r="SSF1" s="935"/>
      <c r="SSG1" s="935"/>
      <c r="SSH1" s="935"/>
      <c r="SSI1" s="935"/>
      <c r="SSJ1" s="935"/>
      <c r="SSK1" s="935"/>
      <c r="SSL1" s="935"/>
      <c r="SSM1" s="935"/>
      <c r="SSN1" s="935"/>
      <c r="SSO1" s="935"/>
      <c r="SSP1" s="935"/>
      <c r="SSQ1" s="935"/>
      <c r="SSR1" s="935"/>
      <c r="SSS1" s="935"/>
      <c r="SST1" s="935"/>
      <c r="SSU1" s="935"/>
      <c r="SSV1" s="935"/>
      <c r="SSW1" s="935"/>
      <c r="SSX1" s="935"/>
      <c r="SSY1" s="935"/>
      <c r="SSZ1" s="935"/>
      <c r="STA1" s="935"/>
      <c r="STB1" s="935"/>
      <c r="STC1" s="935"/>
      <c r="STD1" s="935"/>
      <c r="STE1" s="935"/>
      <c r="STF1" s="935"/>
      <c r="STG1" s="935"/>
      <c r="STH1" s="935"/>
      <c r="STI1" s="935"/>
      <c r="STJ1" s="935"/>
      <c r="STK1" s="935"/>
      <c r="STL1" s="935"/>
      <c r="STM1" s="935"/>
      <c r="STN1" s="935"/>
      <c r="STO1" s="935"/>
      <c r="STP1" s="935"/>
      <c r="STQ1" s="935"/>
      <c r="STR1" s="935"/>
      <c r="STS1" s="935"/>
      <c r="STT1" s="935"/>
      <c r="STU1" s="935"/>
      <c r="STV1" s="935"/>
      <c r="STW1" s="935"/>
      <c r="STX1" s="935"/>
      <c r="STY1" s="935"/>
      <c r="STZ1" s="935"/>
      <c r="SUA1" s="935"/>
      <c r="SUB1" s="935"/>
      <c r="SUC1" s="935"/>
      <c r="SUD1" s="935"/>
      <c r="SUE1" s="935"/>
      <c r="SUF1" s="935"/>
      <c r="SUG1" s="935"/>
      <c r="SUH1" s="935"/>
      <c r="SUI1" s="935"/>
      <c r="SUJ1" s="935"/>
      <c r="SUK1" s="935"/>
      <c r="SUL1" s="935"/>
      <c r="SUM1" s="935"/>
      <c r="SUN1" s="935"/>
      <c r="SUO1" s="935"/>
      <c r="SUP1" s="935"/>
      <c r="SUQ1" s="935"/>
      <c r="SUR1" s="935"/>
      <c r="SUS1" s="935"/>
      <c r="SUT1" s="935"/>
      <c r="SUU1" s="935"/>
      <c r="SUV1" s="935"/>
      <c r="SUW1" s="935"/>
      <c r="SUX1" s="935"/>
      <c r="SUY1" s="935"/>
      <c r="SUZ1" s="935"/>
      <c r="SVA1" s="935"/>
      <c r="SVB1" s="935"/>
      <c r="SVC1" s="935"/>
      <c r="SVD1" s="935"/>
      <c r="SVE1" s="935"/>
      <c r="SVF1" s="935"/>
      <c r="SVG1" s="935"/>
      <c r="SVH1" s="935"/>
      <c r="SVI1" s="935"/>
      <c r="SVJ1" s="935"/>
      <c r="SVK1" s="935"/>
      <c r="SVL1" s="935"/>
      <c r="SVM1" s="935"/>
      <c r="SVN1" s="935"/>
      <c r="SVO1" s="935"/>
      <c r="SVP1" s="935"/>
      <c r="SVQ1" s="935"/>
      <c r="SVR1" s="935"/>
      <c r="SVS1" s="935"/>
      <c r="SVT1" s="935"/>
      <c r="SVU1" s="935"/>
      <c r="SVV1" s="935"/>
      <c r="SVW1" s="935"/>
      <c r="SVX1" s="935"/>
      <c r="SVY1" s="935"/>
      <c r="SVZ1" s="935"/>
      <c r="SWA1" s="935"/>
      <c r="SWB1" s="935"/>
      <c r="SWC1" s="935"/>
      <c r="SWD1" s="935"/>
      <c r="SWE1" s="935"/>
      <c r="SWF1" s="935"/>
      <c r="SWG1" s="935"/>
      <c r="SWH1" s="935"/>
      <c r="SWI1" s="935"/>
      <c r="SWJ1" s="935"/>
      <c r="SWK1" s="935"/>
      <c r="SWL1" s="935"/>
      <c r="SWM1" s="935"/>
      <c r="SWN1" s="935"/>
      <c r="SWO1" s="935"/>
      <c r="SWP1" s="935"/>
      <c r="SWQ1" s="935"/>
      <c r="SWR1" s="935"/>
      <c r="SWS1" s="935"/>
      <c r="SWT1" s="935"/>
      <c r="SWU1" s="935"/>
      <c r="SWV1" s="935"/>
      <c r="SWW1" s="935"/>
      <c r="SWX1" s="935"/>
      <c r="SWY1" s="935"/>
      <c r="SWZ1" s="935"/>
      <c r="SXA1" s="935"/>
      <c r="SXB1" s="935"/>
      <c r="SXC1" s="935"/>
      <c r="SXD1" s="935"/>
      <c r="SXE1" s="935"/>
      <c r="SXF1" s="935"/>
      <c r="SXG1" s="935"/>
      <c r="SXH1" s="935"/>
      <c r="SXI1" s="935"/>
      <c r="SXJ1" s="935"/>
      <c r="SXK1" s="935"/>
      <c r="SXL1" s="935"/>
      <c r="SXM1" s="935"/>
      <c r="SXN1" s="935"/>
      <c r="SXO1" s="935"/>
      <c r="SXP1" s="935"/>
      <c r="SXQ1" s="935"/>
      <c r="SXR1" s="935"/>
      <c r="SXS1" s="935"/>
      <c r="SXT1" s="935"/>
      <c r="SXU1" s="935"/>
      <c r="SXV1" s="935"/>
      <c r="SXW1" s="935"/>
      <c r="SXX1" s="935"/>
      <c r="SXY1" s="935"/>
      <c r="SXZ1" s="935"/>
      <c r="SYA1" s="935"/>
      <c r="SYB1" s="935"/>
      <c r="SYC1" s="935"/>
      <c r="SYD1" s="935"/>
      <c r="SYE1" s="935"/>
      <c r="SYF1" s="935"/>
      <c r="SYG1" s="935"/>
      <c r="SYH1" s="935"/>
      <c r="SYI1" s="935"/>
      <c r="SYJ1" s="935"/>
      <c r="SYK1" s="935"/>
      <c r="SYL1" s="935"/>
      <c r="SYM1" s="935"/>
      <c r="SYN1" s="935"/>
      <c r="SYO1" s="935"/>
      <c r="SYP1" s="935"/>
      <c r="SYQ1" s="935"/>
      <c r="SYR1" s="935"/>
      <c r="SYS1" s="935"/>
      <c r="SYT1" s="935"/>
      <c r="SYU1" s="935"/>
      <c r="SYV1" s="935"/>
      <c r="SYW1" s="935"/>
      <c r="SYX1" s="935"/>
      <c r="SYY1" s="935"/>
      <c r="SYZ1" s="935"/>
      <c r="SZA1" s="935"/>
      <c r="SZB1" s="935"/>
      <c r="SZC1" s="935"/>
      <c r="SZD1" s="935"/>
      <c r="SZE1" s="935"/>
      <c r="SZF1" s="935"/>
      <c r="SZG1" s="935"/>
      <c r="SZH1" s="935"/>
      <c r="SZI1" s="935"/>
      <c r="SZJ1" s="935"/>
      <c r="SZK1" s="935"/>
      <c r="SZL1" s="935"/>
      <c r="SZM1" s="935"/>
      <c r="SZN1" s="935"/>
      <c r="SZO1" s="935"/>
      <c r="SZP1" s="935"/>
      <c r="SZQ1" s="935"/>
      <c r="SZR1" s="935"/>
      <c r="SZS1" s="935"/>
      <c r="SZT1" s="935"/>
      <c r="SZU1" s="935"/>
      <c r="SZV1" s="935"/>
      <c r="SZW1" s="935"/>
      <c r="SZX1" s="935"/>
      <c r="SZY1" s="935"/>
      <c r="SZZ1" s="935"/>
      <c r="TAA1" s="935"/>
      <c r="TAB1" s="935"/>
      <c r="TAC1" s="935"/>
      <c r="TAD1" s="935"/>
      <c r="TAE1" s="935"/>
      <c r="TAF1" s="935"/>
      <c r="TAG1" s="935"/>
      <c r="TAH1" s="935"/>
      <c r="TAI1" s="935"/>
      <c r="TAJ1" s="935"/>
      <c r="TAK1" s="935"/>
      <c r="TAL1" s="935"/>
      <c r="TAM1" s="935"/>
      <c r="TAN1" s="935"/>
      <c r="TAO1" s="935"/>
      <c r="TAP1" s="935"/>
      <c r="TAQ1" s="935"/>
      <c r="TAR1" s="935"/>
      <c r="TAS1" s="935"/>
      <c r="TAT1" s="935"/>
      <c r="TAU1" s="935"/>
      <c r="TAV1" s="935"/>
      <c r="TAW1" s="935"/>
      <c r="TAX1" s="935"/>
      <c r="TAY1" s="935"/>
      <c r="TAZ1" s="935"/>
      <c r="TBA1" s="935"/>
      <c r="TBB1" s="935"/>
      <c r="TBC1" s="935"/>
      <c r="TBD1" s="935"/>
      <c r="TBE1" s="935"/>
      <c r="TBF1" s="935"/>
      <c r="TBG1" s="935"/>
      <c r="TBH1" s="935"/>
      <c r="TBI1" s="935"/>
      <c r="TBJ1" s="935"/>
      <c r="TBK1" s="935"/>
      <c r="TBL1" s="935"/>
      <c r="TBM1" s="935"/>
      <c r="TBN1" s="935"/>
      <c r="TBO1" s="935"/>
      <c r="TBP1" s="935"/>
      <c r="TBQ1" s="935"/>
      <c r="TBR1" s="935"/>
      <c r="TBS1" s="935"/>
      <c r="TBT1" s="935"/>
      <c r="TBU1" s="935"/>
      <c r="TBV1" s="935"/>
      <c r="TBW1" s="935"/>
      <c r="TBX1" s="935"/>
      <c r="TBY1" s="935"/>
      <c r="TBZ1" s="935"/>
      <c r="TCA1" s="935"/>
      <c r="TCB1" s="935"/>
      <c r="TCC1" s="935"/>
      <c r="TCD1" s="935"/>
      <c r="TCE1" s="935"/>
      <c r="TCF1" s="935"/>
      <c r="TCG1" s="935"/>
      <c r="TCH1" s="935"/>
      <c r="TCI1" s="935"/>
      <c r="TCJ1" s="935"/>
      <c r="TCK1" s="935"/>
      <c r="TCL1" s="935"/>
      <c r="TCM1" s="935"/>
      <c r="TCN1" s="935"/>
      <c r="TCO1" s="935"/>
      <c r="TCP1" s="935"/>
      <c r="TCQ1" s="935"/>
      <c r="TCR1" s="935"/>
      <c r="TCS1" s="935"/>
      <c r="TCT1" s="935"/>
      <c r="TCU1" s="935"/>
      <c r="TCV1" s="935"/>
      <c r="TCW1" s="935"/>
      <c r="TCX1" s="935"/>
      <c r="TCY1" s="935"/>
      <c r="TCZ1" s="935"/>
      <c r="TDA1" s="935"/>
      <c r="TDB1" s="935"/>
      <c r="TDC1" s="935"/>
      <c r="TDD1" s="935"/>
      <c r="TDE1" s="935"/>
      <c r="TDF1" s="935"/>
      <c r="TDG1" s="935"/>
      <c r="TDH1" s="935"/>
      <c r="TDI1" s="935"/>
      <c r="TDJ1" s="935"/>
      <c r="TDK1" s="935"/>
      <c r="TDL1" s="935"/>
      <c r="TDM1" s="935"/>
      <c r="TDN1" s="935"/>
      <c r="TDO1" s="935"/>
      <c r="TDP1" s="935"/>
      <c r="TDQ1" s="935"/>
      <c r="TDR1" s="935"/>
      <c r="TDS1" s="935"/>
      <c r="TDT1" s="935"/>
      <c r="TDU1" s="935"/>
      <c r="TDV1" s="935"/>
      <c r="TDW1" s="935"/>
      <c r="TDX1" s="935"/>
      <c r="TDY1" s="935"/>
      <c r="TDZ1" s="935"/>
      <c r="TEA1" s="935"/>
      <c r="TEB1" s="935"/>
      <c r="TEC1" s="935"/>
      <c r="TED1" s="935"/>
      <c r="TEE1" s="935"/>
      <c r="TEF1" s="935"/>
      <c r="TEG1" s="935"/>
      <c r="TEH1" s="935"/>
      <c r="TEI1" s="935"/>
      <c r="TEJ1" s="935"/>
      <c r="TEK1" s="935"/>
      <c r="TEL1" s="935"/>
      <c r="TEM1" s="935"/>
      <c r="TEN1" s="935"/>
      <c r="TEO1" s="935"/>
      <c r="TEP1" s="935"/>
      <c r="TEQ1" s="935"/>
      <c r="TER1" s="935"/>
      <c r="TES1" s="935"/>
      <c r="TET1" s="935"/>
      <c r="TEU1" s="935"/>
      <c r="TEV1" s="935"/>
      <c r="TEW1" s="935"/>
      <c r="TEX1" s="935"/>
      <c r="TEY1" s="935"/>
      <c r="TEZ1" s="935"/>
      <c r="TFA1" s="935"/>
      <c r="TFB1" s="935"/>
      <c r="TFC1" s="935"/>
      <c r="TFD1" s="935"/>
      <c r="TFE1" s="935"/>
      <c r="TFF1" s="935"/>
      <c r="TFG1" s="935"/>
      <c r="TFH1" s="935"/>
      <c r="TFI1" s="935"/>
      <c r="TFJ1" s="935"/>
      <c r="TFK1" s="935"/>
      <c r="TFL1" s="935"/>
      <c r="TFM1" s="935"/>
      <c r="TFN1" s="935"/>
      <c r="TFO1" s="935"/>
      <c r="TFP1" s="935"/>
      <c r="TFQ1" s="935"/>
      <c r="TFR1" s="935"/>
      <c r="TFS1" s="935"/>
      <c r="TFT1" s="935"/>
      <c r="TFU1" s="935"/>
      <c r="TFV1" s="935"/>
      <c r="TFW1" s="935"/>
      <c r="TFX1" s="935"/>
      <c r="TFY1" s="935"/>
      <c r="TFZ1" s="935"/>
      <c r="TGA1" s="935"/>
      <c r="TGB1" s="935"/>
      <c r="TGC1" s="935"/>
      <c r="TGD1" s="935"/>
      <c r="TGE1" s="935"/>
      <c r="TGF1" s="935"/>
      <c r="TGG1" s="935"/>
      <c r="TGH1" s="935"/>
      <c r="TGI1" s="935"/>
      <c r="TGJ1" s="935"/>
      <c r="TGK1" s="935"/>
      <c r="TGL1" s="935"/>
      <c r="TGM1" s="935"/>
      <c r="TGN1" s="935"/>
      <c r="TGO1" s="935"/>
      <c r="TGP1" s="935"/>
      <c r="TGQ1" s="935"/>
      <c r="TGR1" s="935"/>
      <c r="TGS1" s="935"/>
      <c r="TGT1" s="935"/>
      <c r="TGU1" s="935"/>
      <c r="TGV1" s="935"/>
      <c r="TGW1" s="935"/>
      <c r="TGX1" s="935"/>
      <c r="TGY1" s="935"/>
      <c r="TGZ1" s="935"/>
      <c r="THA1" s="935"/>
      <c r="THB1" s="935"/>
      <c r="THC1" s="935"/>
      <c r="THD1" s="935"/>
      <c r="THE1" s="935"/>
      <c r="THF1" s="935"/>
      <c r="THG1" s="935"/>
      <c r="THH1" s="935"/>
      <c r="THI1" s="935"/>
      <c r="THJ1" s="935"/>
      <c r="THK1" s="935"/>
      <c r="THL1" s="935"/>
      <c r="THM1" s="935"/>
      <c r="THN1" s="935"/>
      <c r="THO1" s="935"/>
      <c r="THP1" s="935"/>
      <c r="THQ1" s="935"/>
      <c r="THR1" s="935"/>
      <c r="THS1" s="935"/>
      <c r="THT1" s="935"/>
      <c r="THU1" s="935"/>
      <c r="THV1" s="935"/>
      <c r="THW1" s="935"/>
      <c r="THX1" s="935"/>
      <c r="THY1" s="935"/>
      <c r="THZ1" s="935"/>
      <c r="TIA1" s="935"/>
      <c r="TIB1" s="935"/>
      <c r="TIC1" s="935"/>
      <c r="TID1" s="935"/>
      <c r="TIE1" s="935"/>
      <c r="TIF1" s="935"/>
      <c r="TIG1" s="935"/>
      <c r="TIH1" s="935"/>
      <c r="TII1" s="935"/>
      <c r="TIJ1" s="935"/>
      <c r="TIK1" s="935"/>
      <c r="TIL1" s="935"/>
      <c r="TIM1" s="935"/>
      <c r="TIN1" s="935"/>
      <c r="TIO1" s="935"/>
      <c r="TIP1" s="935"/>
      <c r="TIQ1" s="935"/>
      <c r="TIR1" s="935"/>
      <c r="TIS1" s="935"/>
      <c r="TIT1" s="935"/>
      <c r="TIU1" s="935"/>
      <c r="TIV1" s="935"/>
      <c r="TIW1" s="935"/>
      <c r="TIX1" s="935"/>
      <c r="TIY1" s="935"/>
      <c r="TIZ1" s="935"/>
      <c r="TJA1" s="935"/>
      <c r="TJB1" s="935"/>
      <c r="TJC1" s="935"/>
      <c r="TJD1" s="935"/>
      <c r="TJE1" s="935"/>
      <c r="TJF1" s="935"/>
      <c r="TJG1" s="935"/>
      <c r="TJH1" s="935"/>
      <c r="TJI1" s="935"/>
      <c r="TJJ1" s="935"/>
      <c r="TJK1" s="935"/>
      <c r="TJL1" s="935"/>
      <c r="TJM1" s="935"/>
      <c r="TJN1" s="935"/>
      <c r="TJO1" s="935"/>
      <c r="TJP1" s="935"/>
      <c r="TJQ1" s="935"/>
      <c r="TJR1" s="935"/>
      <c r="TJS1" s="935"/>
      <c r="TJT1" s="935"/>
      <c r="TJU1" s="935"/>
      <c r="TJV1" s="935"/>
      <c r="TJW1" s="935"/>
      <c r="TJX1" s="935"/>
      <c r="TJY1" s="935"/>
      <c r="TJZ1" s="935"/>
      <c r="TKA1" s="935"/>
      <c r="TKB1" s="935"/>
      <c r="TKC1" s="935"/>
      <c r="TKD1" s="935"/>
      <c r="TKE1" s="935"/>
      <c r="TKF1" s="935"/>
      <c r="TKG1" s="935"/>
      <c r="TKH1" s="935"/>
      <c r="TKI1" s="935"/>
      <c r="TKJ1" s="935"/>
      <c r="TKK1" s="935"/>
      <c r="TKL1" s="935"/>
      <c r="TKM1" s="935"/>
      <c r="TKN1" s="935"/>
      <c r="TKO1" s="935"/>
      <c r="TKP1" s="935"/>
      <c r="TKQ1" s="935"/>
      <c r="TKR1" s="935"/>
      <c r="TKS1" s="935"/>
      <c r="TKT1" s="935"/>
      <c r="TKU1" s="935"/>
      <c r="TKV1" s="935"/>
      <c r="TKW1" s="935"/>
      <c r="TKX1" s="935"/>
      <c r="TKY1" s="935"/>
      <c r="TKZ1" s="935"/>
      <c r="TLA1" s="935"/>
      <c r="TLB1" s="935"/>
      <c r="TLC1" s="935"/>
      <c r="TLD1" s="935"/>
      <c r="TLE1" s="935"/>
      <c r="TLF1" s="935"/>
      <c r="TLG1" s="935"/>
      <c r="TLH1" s="935"/>
      <c r="TLI1" s="935"/>
      <c r="TLJ1" s="935"/>
      <c r="TLK1" s="935"/>
      <c r="TLL1" s="935"/>
      <c r="TLM1" s="935"/>
      <c r="TLN1" s="935"/>
      <c r="TLO1" s="935"/>
      <c r="TLP1" s="935"/>
      <c r="TLQ1" s="935"/>
      <c r="TLR1" s="935"/>
      <c r="TLS1" s="935"/>
      <c r="TLT1" s="935"/>
      <c r="TLU1" s="935"/>
      <c r="TLV1" s="935"/>
      <c r="TLW1" s="935"/>
      <c r="TLX1" s="935"/>
      <c r="TLY1" s="935"/>
      <c r="TLZ1" s="935"/>
      <c r="TMA1" s="935"/>
      <c r="TMB1" s="935"/>
      <c r="TMC1" s="935"/>
      <c r="TMD1" s="935"/>
      <c r="TME1" s="935"/>
      <c r="TMF1" s="935"/>
      <c r="TMG1" s="935"/>
      <c r="TMH1" s="935"/>
      <c r="TMI1" s="935"/>
      <c r="TMJ1" s="935"/>
      <c r="TMK1" s="935"/>
      <c r="TML1" s="935"/>
      <c r="TMM1" s="935"/>
      <c r="TMN1" s="935"/>
      <c r="TMO1" s="935"/>
      <c r="TMP1" s="935"/>
      <c r="TMQ1" s="935"/>
      <c r="TMR1" s="935"/>
      <c r="TMS1" s="935"/>
      <c r="TMT1" s="935"/>
      <c r="TMU1" s="935"/>
      <c r="TMV1" s="935"/>
      <c r="TMW1" s="935"/>
      <c r="TMX1" s="935"/>
      <c r="TMY1" s="935"/>
      <c r="TMZ1" s="935"/>
      <c r="TNA1" s="935"/>
      <c r="TNB1" s="935"/>
      <c r="TNC1" s="935"/>
      <c r="TND1" s="935"/>
      <c r="TNE1" s="935"/>
      <c r="TNF1" s="935"/>
      <c r="TNG1" s="935"/>
      <c r="TNH1" s="935"/>
      <c r="TNI1" s="935"/>
      <c r="TNJ1" s="935"/>
      <c r="TNK1" s="935"/>
      <c r="TNL1" s="935"/>
      <c r="TNM1" s="935"/>
      <c r="TNN1" s="935"/>
      <c r="TNO1" s="935"/>
      <c r="TNP1" s="935"/>
      <c r="TNQ1" s="935"/>
      <c r="TNR1" s="935"/>
      <c r="TNS1" s="935"/>
      <c r="TNT1" s="935"/>
      <c r="TNU1" s="935"/>
      <c r="TNV1" s="935"/>
      <c r="TNW1" s="935"/>
      <c r="TNX1" s="935"/>
      <c r="TNY1" s="935"/>
      <c r="TNZ1" s="935"/>
      <c r="TOA1" s="935"/>
      <c r="TOB1" s="935"/>
      <c r="TOC1" s="935"/>
      <c r="TOD1" s="935"/>
      <c r="TOE1" s="935"/>
      <c r="TOF1" s="935"/>
      <c r="TOG1" s="935"/>
      <c r="TOH1" s="935"/>
      <c r="TOI1" s="935"/>
      <c r="TOJ1" s="935"/>
      <c r="TOK1" s="935"/>
      <c r="TOL1" s="935"/>
      <c r="TOM1" s="935"/>
      <c r="TON1" s="935"/>
      <c r="TOO1" s="935"/>
      <c r="TOP1" s="935"/>
      <c r="TOQ1" s="935"/>
      <c r="TOR1" s="935"/>
      <c r="TOS1" s="935"/>
      <c r="TOT1" s="935"/>
      <c r="TOU1" s="935"/>
      <c r="TOV1" s="935"/>
      <c r="TOW1" s="935"/>
      <c r="TOX1" s="935"/>
      <c r="TOY1" s="935"/>
      <c r="TOZ1" s="935"/>
      <c r="TPA1" s="935"/>
      <c r="TPB1" s="935"/>
      <c r="TPC1" s="935"/>
      <c r="TPD1" s="935"/>
      <c r="TPE1" s="935"/>
      <c r="TPF1" s="935"/>
      <c r="TPG1" s="935"/>
      <c r="TPH1" s="935"/>
      <c r="TPI1" s="935"/>
      <c r="TPJ1" s="935"/>
      <c r="TPK1" s="935"/>
      <c r="TPL1" s="935"/>
      <c r="TPM1" s="935"/>
      <c r="TPN1" s="935"/>
      <c r="TPO1" s="935"/>
      <c r="TPP1" s="935"/>
      <c r="TPQ1" s="935"/>
      <c r="TPR1" s="935"/>
      <c r="TPS1" s="935"/>
      <c r="TPT1" s="935"/>
      <c r="TPU1" s="935"/>
      <c r="TPV1" s="935"/>
      <c r="TPW1" s="935"/>
      <c r="TPX1" s="935"/>
      <c r="TPY1" s="935"/>
      <c r="TPZ1" s="935"/>
      <c r="TQA1" s="935"/>
      <c r="TQB1" s="935"/>
      <c r="TQC1" s="935"/>
      <c r="TQD1" s="935"/>
      <c r="TQE1" s="935"/>
      <c r="TQF1" s="935"/>
      <c r="TQG1" s="935"/>
      <c r="TQH1" s="935"/>
      <c r="TQI1" s="935"/>
      <c r="TQJ1" s="935"/>
      <c r="TQK1" s="935"/>
      <c r="TQL1" s="935"/>
      <c r="TQM1" s="935"/>
      <c r="TQN1" s="935"/>
      <c r="TQO1" s="935"/>
      <c r="TQP1" s="935"/>
      <c r="TQQ1" s="935"/>
      <c r="TQR1" s="935"/>
      <c r="TQS1" s="935"/>
      <c r="TQT1" s="935"/>
      <c r="TQU1" s="935"/>
      <c r="TQV1" s="935"/>
      <c r="TQW1" s="935"/>
      <c r="TQX1" s="935"/>
      <c r="TQY1" s="935"/>
      <c r="TQZ1" s="935"/>
      <c r="TRA1" s="935"/>
      <c r="TRB1" s="935"/>
      <c r="TRC1" s="935"/>
      <c r="TRD1" s="935"/>
      <c r="TRE1" s="935"/>
      <c r="TRF1" s="935"/>
      <c r="TRG1" s="935"/>
      <c r="TRH1" s="935"/>
      <c r="TRI1" s="935"/>
      <c r="TRJ1" s="935"/>
      <c r="TRK1" s="935"/>
      <c r="TRL1" s="935"/>
      <c r="TRM1" s="935"/>
      <c r="TRN1" s="935"/>
      <c r="TRO1" s="935"/>
      <c r="TRP1" s="935"/>
      <c r="TRQ1" s="935"/>
      <c r="TRR1" s="935"/>
      <c r="TRS1" s="935"/>
      <c r="TRT1" s="935"/>
      <c r="TRU1" s="935"/>
      <c r="TRV1" s="935"/>
      <c r="TRW1" s="935"/>
      <c r="TRX1" s="935"/>
      <c r="TRY1" s="935"/>
      <c r="TRZ1" s="935"/>
      <c r="TSA1" s="935"/>
      <c r="TSB1" s="935"/>
      <c r="TSC1" s="935"/>
      <c r="TSD1" s="935"/>
      <c r="TSE1" s="935"/>
      <c r="TSF1" s="935"/>
      <c r="TSG1" s="935"/>
      <c r="TSH1" s="935"/>
      <c r="TSI1" s="935"/>
      <c r="TSJ1" s="935"/>
      <c r="TSK1" s="935"/>
      <c r="TSL1" s="935"/>
      <c r="TSM1" s="935"/>
      <c r="TSN1" s="935"/>
      <c r="TSO1" s="935"/>
      <c r="TSP1" s="935"/>
      <c r="TSQ1" s="935"/>
      <c r="TSR1" s="935"/>
      <c r="TSS1" s="935"/>
      <c r="TST1" s="935"/>
      <c r="TSU1" s="935"/>
      <c r="TSV1" s="935"/>
      <c r="TSW1" s="935"/>
      <c r="TSX1" s="935"/>
      <c r="TSY1" s="935"/>
      <c r="TSZ1" s="935"/>
      <c r="TTA1" s="935"/>
      <c r="TTB1" s="935"/>
      <c r="TTC1" s="935"/>
      <c r="TTD1" s="935"/>
      <c r="TTE1" s="935"/>
      <c r="TTF1" s="935"/>
      <c r="TTG1" s="935"/>
      <c r="TTH1" s="935"/>
      <c r="TTI1" s="935"/>
      <c r="TTJ1" s="935"/>
      <c r="TTK1" s="935"/>
      <c r="TTL1" s="935"/>
      <c r="TTM1" s="935"/>
      <c r="TTN1" s="935"/>
      <c r="TTO1" s="935"/>
      <c r="TTP1" s="935"/>
      <c r="TTQ1" s="935"/>
      <c r="TTR1" s="935"/>
      <c r="TTS1" s="935"/>
      <c r="TTT1" s="935"/>
      <c r="TTU1" s="935"/>
      <c r="TTV1" s="935"/>
      <c r="TTW1" s="935"/>
      <c r="TTX1" s="935"/>
      <c r="TTY1" s="935"/>
      <c r="TTZ1" s="935"/>
      <c r="TUA1" s="935"/>
      <c r="TUB1" s="935"/>
      <c r="TUC1" s="935"/>
      <c r="TUD1" s="935"/>
      <c r="TUE1" s="935"/>
      <c r="TUF1" s="935"/>
      <c r="TUG1" s="935"/>
      <c r="TUH1" s="935"/>
      <c r="TUI1" s="935"/>
      <c r="TUJ1" s="935"/>
      <c r="TUK1" s="935"/>
      <c r="TUL1" s="935"/>
      <c r="TUM1" s="935"/>
      <c r="TUN1" s="935"/>
      <c r="TUO1" s="935"/>
      <c r="TUP1" s="935"/>
      <c r="TUQ1" s="935"/>
      <c r="TUR1" s="935"/>
      <c r="TUS1" s="935"/>
      <c r="TUT1" s="935"/>
      <c r="TUU1" s="935"/>
      <c r="TUV1" s="935"/>
      <c r="TUW1" s="935"/>
      <c r="TUX1" s="935"/>
      <c r="TUY1" s="935"/>
      <c r="TUZ1" s="935"/>
      <c r="TVA1" s="935"/>
      <c r="TVB1" s="935"/>
      <c r="TVC1" s="935"/>
      <c r="TVD1" s="935"/>
      <c r="TVE1" s="935"/>
      <c r="TVF1" s="935"/>
      <c r="TVG1" s="935"/>
      <c r="TVH1" s="935"/>
      <c r="TVI1" s="935"/>
      <c r="TVJ1" s="935"/>
      <c r="TVK1" s="935"/>
      <c r="TVL1" s="935"/>
      <c r="TVM1" s="935"/>
      <c r="TVN1" s="935"/>
      <c r="TVO1" s="935"/>
      <c r="TVP1" s="935"/>
      <c r="TVQ1" s="935"/>
      <c r="TVR1" s="935"/>
      <c r="TVS1" s="935"/>
      <c r="TVT1" s="935"/>
      <c r="TVU1" s="935"/>
      <c r="TVV1" s="935"/>
      <c r="TVW1" s="935"/>
      <c r="TVX1" s="935"/>
      <c r="TVY1" s="935"/>
      <c r="TVZ1" s="935"/>
      <c r="TWA1" s="935"/>
      <c r="TWB1" s="935"/>
      <c r="TWC1" s="935"/>
      <c r="TWD1" s="935"/>
      <c r="TWE1" s="935"/>
      <c r="TWF1" s="935"/>
      <c r="TWG1" s="935"/>
      <c r="TWH1" s="935"/>
      <c r="TWI1" s="935"/>
      <c r="TWJ1" s="935"/>
      <c r="TWK1" s="935"/>
      <c r="TWL1" s="935"/>
      <c r="TWM1" s="935"/>
      <c r="TWN1" s="935"/>
      <c r="TWO1" s="935"/>
      <c r="TWP1" s="935"/>
      <c r="TWQ1" s="935"/>
      <c r="TWR1" s="935"/>
      <c r="TWS1" s="935"/>
      <c r="TWT1" s="935"/>
      <c r="TWU1" s="935"/>
      <c r="TWV1" s="935"/>
      <c r="TWW1" s="935"/>
      <c r="TWX1" s="935"/>
      <c r="TWY1" s="935"/>
      <c r="TWZ1" s="935"/>
      <c r="TXA1" s="935"/>
      <c r="TXB1" s="935"/>
      <c r="TXC1" s="935"/>
      <c r="TXD1" s="935"/>
      <c r="TXE1" s="935"/>
      <c r="TXF1" s="935"/>
      <c r="TXG1" s="935"/>
      <c r="TXH1" s="935"/>
      <c r="TXI1" s="935"/>
      <c r="TXJ1" s="935"/>
      <c r="TXK1" s="935"/>
      <c r="TXL1" s="935"/>
      <c r="TXM1" s="935"/>
      <c r="TXN1" s="935"/>
      <c r="TXO1" s="935"/>
      <c r="TXP1" s="935"/>
      <c r="TXQ1" s="935"/>
      <c r="TXR1" s="935"/>
      <c r="TXS1" s="935"/>
      <c r="TXT1" s="935"/>
      <c r="TXU1" s="935"/>
      <c r="TXV1" s="935"/>
      <c r="TXW1" s="935"/>
      <c r="TXX1" s="935"/>
      <c r="TXY1" s="935"/>
      <c r="TXZ1" s="935"/>
      <c r="TYA1" s="935"/>
      <c r="TYB1" s="935"/>
      <c r="TYC1" s="935"/>
      <c r="TYD1" s="935"/>
      <c r="TYE1" s="935"/>
      <c r="TYF1" s="935"/>
      <c r="TYG1" s="935"/>
      <c r="TYH1" s="935"/>
      <c r="TYI1" s="935"/>
      <c r="TYJ1" s="935"/>
      <c r="TYK1" s="935"/>
      <c r="TYL1" s="935"/>
      <c r="TYM1" s="935"/>
      <c r="TYN1" s="935"/>
      <c r="TYO1" s="935"/>
      <c r="TYP1" s="935"/>
      <c r="TYQ1" s="935"/>
      <c r="TYR1" s="935"/>
      <c r="TYS1" s="935"/>
      <c r="TYT1" s="935"/>
      <c r="TYU1" s="935"/>
      <c r="TYV1" s="935"/>
      <c r="TYW1" s="935"/>
      <c r="TYX1" s="935"/>
      <c r="TYY1" s="935"/>
      <c r="TYZ1" s="935"/>
      <c r="TZA1" s="935"/>
      <c r="TZB1" s="935"/>
      <c r="TZC1" s="935"/>
      <c r="TZD1" s="935"/>
      <c r="TZE1" s="935"/>
      <c r="TZF1" s="935"/>
      <c r="TZG1" s="935"/>
      <c r="TZH1" s="935"/>
      <c r="TZI1" s="935"/>
      <c r="TZJ1" s="935"/>
      <c r="TZK1" s="935"/>
      <c r="TZL1" s="935"/>
      <c r="TZM1" s="935"/>
      <c r="TZN1" s="935"/>
      <c r="TZO1" s="935"/>
      <c r="TZP1" s="935"/>
      <c r="TZQ1" s="935"/>
      <c r="TZR1" s="935"/>
      <c r="TZS1" s="935"/>
      <c r="TZT1" s="935"/>
      <c r="TZU1" s="935"/>
      <c r="TZV1" s="935"/>
      <c r="TZW1" s="935"/>
      <c r="TZX1" s="935"/>
      <c r="TZY1" s="935"/>
      <c r="TZZ1" s="935"/>
      <c r="UAA1" s="935"/>
      <c r="UAB1" s="935"/>
      <c r="UAC1" s="935"/>
      <c r="UAD1" s="935"/>
      <c r="UAE1" s="935"/>
      <c r="UAF1" s="935"/>
      <c r="UAG1" s="935"/>
      <c r="UAH1" s="935"/>
      <c r="UAI1" s="935"/>
      <c r="UAJ1" s="935"/>
      <c r="UAK1" s="935"/>
      <c r="UAL1" s="935"/>
      <c r="UAM1" s="935"/>
      <c r="UAN1" s="935"/>
      <c r="UAO1" s="935"/>
      <c r="UAP1" s="935"/>
      <c r="UAQ1" s="935"/>
      <c r="UAR1" s="935"/>
      <c r="UAS1" s="935"/>
      <c r="UAT1" s="935"/>
      <c r="UAU1" s="935"/>
      <c r="UAV1" s="935"/>
      <c r="UAW1" s="935"/>
      <c r="UAX1" s="935"/>
      <c r="UAY1" s="935"/>
      <c r="UAZ1" s="935"/>
      <c r="UBA1" s="935"/>
      <c r="UBB1" s="935"/>
      <c r="UBC1" s="935"/>
      <c r="UBD1" s="935"/>
      <c r="UBE1" s="935"/>
      <c r="UBF1" s="935"/>
      <c r="UBG1" s="935"/>
      <c r="UBH1" s="935"/>
      <c r="UBI1" s="935"/>
      <c r="UBJ1" s="935"/>
      <c r="UBK1" s="935"/>
      <c r="UBL1" s="935"/>
      <c r="UBM1" s="935"/>
      <c r="UBN1" s="935"/>
      <c r="UBO1" s="935"/>
      <c r="UBP1" s="935"/>
      <c r="UBQ1" s="935"/>
      <c r="UBR1" s="935"/>
      <c r="UBS1" s="935"/>
      <c r="UBT1" s="935"/>
      <c r="UBU1" s="935"/>
      <c r="UBV1" s="935"/>
      <c r="UBW1" s="935"/>
      <c r="UBX1" s="935"/>
      <c r="UBY1" s="935"/>
      <c r="UBZ1" s="935"/>
      <c r="UCA1" s="935"/>
      <c r="UCB1" s="935"/>
      <c r="UCC1" s="935"/>
      <c r="UCD1" s="935"/>
      <c r="UCE1" s="935"/>
      <c r="UCF1" s="935"/>
      <c r="UCG1" s="935"/>
      <c r="UCH1" s="935"/>
      <c r="UCI1" s="935"/>
      <c r="UCJ1" s="935"/>
      <c r="UCK1" s="935"/>
      <c r="UCL1" s="935"/>
      <c r="UCM1" s="935"/>
      <c r="UCN1" s="935"/>
      <c r="UCO1" s="935"/>
      <c r="UCP1" s="935"/>
      <c r="UCQ1" s="935"/>
      <c r="UCR1" s="935"/>
      <c r="UCS1" s="935"/>
      <c r="UCT1" s="935"/>
      <c r="UCU1" s="935"/>
      <c r="UCV1" s="935"/>
      <c r="UCW1" s="935"/>
      <c r="UCX1" s="935"/>
      <c r="UCY1" s="935"/>
      <c r="UCZ1" s="935"/>
      <c r="UDA1" s="935"/>
      <c r="UDB1" s="935"/>
      <c r="UDC1" s="935"/>
      <c r="UDD1" s="935"/>
      <c r="UDE1" s="935"/>
      <c r="UDF1" s="935"/>
      <c r="UDG1" s="935"/>
      <c r="UDH1" s="935"/>
      <c r="UDI1" s="935"/>
      <c r="UDJ1" s="935"/>
      <c r="UDK1" s="935"/>
      <c r="UDL1" s="935"/>
      <c r="UDM1" s="935"/>
      <c r="UDN1" s="935"/>
      <c r="UDO1" s="935"/>
      <c r="UDP1" s="935"/>
      <c r="UDQ1" s="935"/>
      <c r="UDR1" s="935"/>
      <c r="UDS1" s="935"/>
      <c r="UDT1" s="935"/>
      <c r="UDU1" s="935"/>
      <c r="UDV1" s="935"/>
      <c r="UDW1" s="935"/>
      <c r="UDX1" s="935"/>
      <c r="UDY1" s="935"/>
      <c r="UDZ1" s="935"/>
      <c r="UEA1" s="935"/>
      <c r="UEB1" s="935"/>
      <c r="UEC1" s="935"/>
      <c r="UED1" s="935"/>
      <c r="UEE1" s="935"/>
      <c r="UEF1" s="935"/>
      <c r="UEG1" s="935"/>
      <c r="UEH1" s="935"/>
      <c r="UEI1" s="935"/>
      <c r="UEJ1" s="935"/>
      <c r="UEK1" s="935"/>
      <c r="UEL1" s="935"/>
      <c r="UEM1" s="935"/>
      <c r="UEN1" s="935"/>
      <c r="UEO1" s="935"/>
      <c r="UEP1" s="935"/>
      <c r="UEQ1" s="935"/>
      <c r="UER1" s="935"/>
      <c r="UES1" s="935"/>
      <c r="UET1" s="935"/>
      <c r="UEU1" s="935"/>
      <c r="UEV1" s="935"/>
      <c r="UEW1" s="935"/>
      <c r="UEX1" s="935"/>
      <c r="UEY1" s="935"/>
      <c r="UEZ1" s="935"/>
      <c r="UFA1" s="935"/>
      <c r="UFB1" s="935"/>
      <c r="UFC1" s="935"/>
      <c r="UFD1" s="935"/>
      <c r="UFE1" s="935"/>
      <c r="UFF1" s="935"/>
      <c r="UFG1" s="935"/>
      <c r="UFH1" s="935"/>
      <c r="UFI1" s="935"/>
      <c r="UFJ1" s="935"/>
      <c r="UFK1" s="935"/>
      <c r="UFL1" s="935"/>
      <c r="UFM1" s="935"/>
      <c r="UFN1" s="935"/>
      <c r="UFO1" s="935"/>
      <c r="UFP1" s="935"/>
      <c r="UFQ1" s="935"/>
      <c r="UFR1" s="935"/>
      <c r="UFS1" s="935"/>
      <c r="UFT1" s="935"/>
      <c r="UFU1" s="935"/>
      <c r="UFV1" s="935"/>
      <c r="UFW1" s="935"/>
      <c r="UFX1" s="935"/>
      <c r="UFY1" s="935"/>
      <c r="UFZ1" s="935"/>
      <c r="UGA1" s="935"/>
      <c r="UGB1" s="935"/>
      <c r="UGC1" s="935"/>
      <c r="UGD1" s="935"/>
      <c r="UGE1" s="935"/>
      <c r="UGF1" s="935"/>
      <c r="UGG1" s="935"/>
      <c r="UGH1" s="935"/>
      <c r="UGI1" s="935"/>
      <c r="UGJ1" s="935"/>
      <c r="UGK1" s="935"/>
      <c r="UGL1" s="935"/>
      <c r="UGM1" s="935"/>
      <c r="UGN1" s="935"/>
      <c r="UGO1" s="935"/>
      <c r="UGP1" s="935"/>
      <c r="UGQ1" s="935"/>
      <c r="UGR1" s="935"/>
      <c r="UGS1" s="935"/>
      <c r="UGT1" s="935"/>
      <c r="UGU1" s="935"/>
      <c r="UGV1" s="935"/>
      <c r="UGW1" s="935"/>
      <c r="UGX1" s="935"/>
      <c r="UGY1" s="935"/>
      <c r="UGZ1" s="935"/>
      <c r="UHA1" s="935"/>
      <c r="UHB1" s="935"/>
      <c r="UHC1" s="935"/>
      <c r="UHD1" s="935"/>
      <c r="UHE1" s="935"/>
      <c r="UHF1" s="935"/>
      <c r="UHG1" s="935"/>
      <c r="UHH1" s="935"/>
      <c r="UHI1" s="935"/>
      <c r="UHJ1" s="935"/>
      <c r="UHK1" s="935"/>
      <c r="UHL1" s="935"/>
      <c r="UHM1" s="935"/>
      <c r="UHN1" s="935"/>
      <c r="UHO1" s="935"/>
      <c r="UHP1" s="935"/>
      <c r="UHQ1" s="935"/>
      <c r="UHR1" s="935"/>
      <c r="UHS1" s="935"/>
      <c r="UHT1" s="935"/>
      <c r="UHU1" s="935"/>
      <c r="UHV1" s="935"/>
      <c r="UHW1" s="935"/>
      <c r="UHX1" s="935"/>
      <c r="UHY1" s="935"/>
      <c r="UHZ1" s="935"/>
      <c r="UIA1" s="935"/>
      <c r="UIB1" s="935"/>
      <c r="UIC1" s="935"/>
      <c r="UID1" s="935"/>
      <c r="UIE1" s="935"/>
      <c r="UIF1" s="935"/>
      <c r="UIG1" s="935"/>
      <c r="UIH1" s="935"/>
      <c r="UII1" s="935"/>
      <c r="UIJ1" s="935"/>
      <c r="UIK1" s="935"/>
      <c r="UIL1" s="935"/>
      <c r="UIM1" s="935"/>
      <c r="UIN1" s="935"/>
      <c r="UIO1" s="935"/>
      <c r="UIP1" s="935"/>
      <c r="UIQ1" s="935"/>
      <c r="UIR1" s="935"/>
      <c r="UIS1" s="935"/>
      <c r="UIT1" s="935"/>
      <c r="UIU1" s="935"/>
      <c r="UIV1" s="935"/>
      <c r="UIW1" s="935"/>
      <c r="UIX1" s="935"/>
      <c r="UIY1" s="935"/>
      <c r="UIZ1" s="935"/>
      <c r="UJA1" s="935"/>
      <c r="UJB1" s="935"/>
      <c r="UJC1" s="935"/>
      <c r="UJD1" s="935"/>
      <c r="UJE1" s="935"/>
      <c r="UJF1" s="935"/>
      <c r="UJG1" s="935"/>
      <c r="UJH1" s="935"/>
      <c r="UJI1" s="935"/>
      <c r="UJJ1" s="935"/>
      <c r="UJK1" s="935"/>
      <c r="UJL1" s="935"/>
      <c r="UJM1" s="935"/>
      <c r="UJN1" s="935"/>
      <c r="UJO1" s="935"/>
      <c r="UJP1" s="935"/>
      <c r="UJQ1" s="935"/>
      <c r="UJR1" s="935"/>
      <c r="UJS1" s="935"/>
      <c r="UJT1" s="935"/>
      <c r="UJU1" s="935"/>
      <c r="UJV1" s="935"/>
      <c r="UJW1" s="935"/>
      <c r="UJX1" s="935"/>
      <c r="UJY1" s="935"/>
      <c r="UJZ1" s="935"/>
      <c r="UKA1" s="935"/>
      <c r="UKB1" s="935"/>
      <c r="UKC1" s="935"/>
      <c r="UKD1" s="935"/>
      <c r="UKE1" s="935"/>
      <c r="UKF1" s="935"/>
      <c r="UKG1" s="935"/>
      <c r="UKH1" s="935"/>
      <c r="UKI1" s="935"/>
      <c r="UKJ1" s="935"/>
      <c r="UKK1" s="935"/>
      <c r="UKL1" s="935"/>
      <c r="UKM1" s="935"/>
      <c r="UKN1" s="935"/>
      <c r="UKO1" s="935"/>
      <c r="UKP1" s="935"/>
      <c r="UKQ1" s="935"/>
      <c r="UKR1" s="935"/>
      <c r="UKS1" s="935"/>
      <c r="UKT1" s="935"/>
      <c r="UKU1" s="935"/>
      <c r="UKV1" s="935"/>
      <c r="UKW1" s="935"/>
      <c r="UKX1" s="935"/>
      <c r="UKY1" s="935"/>
      <c r="UKZ1" s="935"/>
      <c r="ULA1" s="935"/>
      <c r="ULB1" s="935"/>
      <c r="ULC1" s="935"/>
      <c r="ULD1" s="935"/>
      <c r="ULE1" s="935"/>
      <c r="ULF1" s="935"/>
      <c r="ULG1" s="935"/>
      <c r="ULH1" s="935"/>
      <c r="ULI1" s="935"/>
      <c r="ULJ1" s="935"/>
      <c r="ULK1" s="935"/>
      <c r="ULL1" s="935"/>
      <c r="ULM1" s="935"/>
      <c r="ULN1" s="935"/>
      <c r="ULO1" s="935"/>
      <c r="ULP1" s="935"/>
      <c r="ULQ1" s="935"/>
      <c r="ULR1" s="935"/>
      <c r="ULS1" s="935"/>
      <c r="ULT1" s="935"/>
      <c r="ULU1" s="935"/>
      <c r="ULV1" s="935"/>
      <c r="ULW1" s="935"/>
      <c r="ULX1" s="935"/>
      <c r="ULY1" s="935"/>
      <c r="ULZ1" s="935"/>
      <c r="UMA1" s="935"/>
      <c r="UMB1" s="935"/>
      <c r="UMC1" s="935"/>
      <c r="UMD1" s="935"/>
      <c r="UME1" s="935"/>
      <c r="UMF1" s="935"/>
      <c r="UMG1" s="935"/>
      <c r="UMH1" s="935"/>
      <c r="UMI1" s="935"/>
      <c r="UMJ1" s="935"/>
      <c r="UMK1" s="935"/>
      <c r="UML1" s="935"/>
      <c r="UMM1" s="935"/>
      <c r="UMN1" s="935"/>
      <c r="UMO1" s="935"/>
      <c r="UMP1" s="935"/>
      <c r="UMQ1" s="935"/>
      <c r="UMR1" s="935"/>
      <c r="UMS1" s="935"/>
      <c r="UMT1" s="935"/>
      <c r="UMU1" s="935"/>
      <c r="UMV1" s="935"/>
      <c r="UMW1" s="935"/>
      <c r="UMX1" s="935"/>
      <c r="UMY1" s="935"/>
      <c r="UMZ1" s="935"/>
      <c r="UNA1" s="935"/>
      <c r="UNB1" s="935"/>
      <c r="UNC1" s="935"/>
      <c r="UND1" s="935"/>
      <c r="UNE1" s="935"/>
      <c r="UNF1" s="935"/>
      <c r="UNG1" s="935"/>
      <c r="UNH1" s="935"/>
      <c r="UNI1" s="935"/>
      <c r="UNJ1" s="935"/>
      <c r="UNK1" s="935"/>
      <c r="UNL1" s="935"/>
      <c r="UNM1" s="935"/>
      <c r="UNN1" s="935"/>
      <c r="UNO1" s="935"/>
      <c r="UNP1" s="935"/>
      <c r="UNQ1" s="935"/>
      <c r="UNR1" s="935"/>
      <c r="UNS1" s="935"/>
      <c r="UNT1" s="935"/>
      <c r="UNU1" s="935"/>
      <c r="UNV1" s="935"/>
      <c r="UNW1" s="935"/>
      <c r="UNX1" s="935"/>
      <c r="UNY1" s="935"/>
      <c r="UNZ1" s="935"/>
      <c r="UOA1" s="935"/>
      <c r="UOB1" s="935"/>
      <c r="UOC1" s="935"/>
      <c r="UOD1" s="935"/>
      <c r="UOE1" s="935"/>
      <c r="UOF1" s="935"/>
      <c r="UOG1" s="935"/>
      <c r="UOH1" s="935"/>
      <c r="UOI1" s="935"/>
      <c r="UOJ1" s="935"/>
      <c r="UOK1" s="935"/>
      <c r="UOL1" s="935"/>
      <c r="UOM1" s="935"/>
      <c r="UON1" s="935"/>
      <c r="UOO1" s="935"/>
      <c r="UOP1" s="935"/>
      <c r="UOQ1" s="935"/>
      <c r="UOR1" s="935"/>
      <c r="UOS1" s="935"/>
      <c r="UOT1" s="935"/>
      <c r="UOU1" s="935"/>
      <c r="UOV1" s="935"/>
      <c r="UOW1" s="935"/>
      <c r="UOX1" s="935"/>
      <c r="UOY1" s="935"/>
      <c r="UOZ1" s="935"/>
      <c r="UPA1" s="935"/>
      <c r="UPB1" s="935"/>
      <c r="UPC1" s="935"/>
      <c r="UPD1" s="935"/>
      <c r="UPE1" s="935"/>
      <c r="UPF1" s="935"/>
      <c r="UPG1" s="935"/>
      <c r="UPH1" s="935"/>
      <c r="UPI1" s="935"/>
      <c r="UPJ1" s="935"/>
      <c r="UPK1" s="935"/>
      <c r="UPL1" s="935"/>
      <c r="UPM1" s="935"/>
      <c r="UPN1" s="935"/>
      <c r="UPO1" s="935"/>
      <c r="UPP1" s="935"/>
      <c r="UPQ1" s="935"/>
      <c r="UPR1" s="935"/>
      <c r="UPS1" s="935"/>
      <c r="UPT1" s="935"/>
      <c r="UPU1" s="935"/>
      <c r="UPV1" s="935"/>
      <c r="UPW1" s="935"/>
      <c r="UPX1" s="935"/>
      <c r="UPY1" s="935"/>
      <c r="UPZ1" s="935"/>
      <c r="UQA1" s="935"/>
      <c r="UQB1" s="935"/>
      <c r="UQC1" s="935"/>
      <c r="UQD1" s="935"/>
      <c r="UQE1" s="935"/>
      <c r="UQF1" s="935"/>
      <c r="UQG1" s="935"/>
      <c r="UQH1" s="935"/>
      <c r="UQI1" s="935"/>
      <c r="UQJ1" s="935"/>
      <c r="UQK1" s="935"/>
      <c r="UQL1" s="935"/>
      <c r="UQM1" s="935"/>
      <c r="UQN1" s="935"/>
      <c r="UQO1" s="935"/>
      <c r="UQP1" s="935"/>
      <c r="UQQ1" s="935"/>
      <c r="UQR1" s="935"/>
      <c r="UQS1" s="935"/>
      <c r="UQT1" s="935"/>
      <c r="UQU1" s="935"/>
      <c r="UQV1" s="935"/>
      <c r="UQW1" s="935"/>
      <c r="UQX1" s="935"/>
      <c r="UQY1" s="935"/>
      <c r="UQZ1" s="935"/>
      <c r="URA1" s="935"/>
      <c r="URB1" s="935"/>
      <c r="URC1" s="935"/>
      <c r="URD1" s="935"/>
      <c r="URE1" s="935"/>
      <c r="URF1" s="935"/>
      <c r="URG1" s="935"/>
      <c r="URH1" s="935"/>
      <c r="URI1" s="935"/>
      <c r="URJ1" s="935"/>
      <c r="URK1" s="935"/>
      <c r="URL1" s="935"/>
      <c r="URM1" s="935"/>
      <c r="URN1" s="935"/>
      <c r="URO1" s="935"/>
      <c r="URP1" s="935"/>
      <c r="URQ1" s="935"/>
      <c r="URR1" s="935"/>
      <c r="URS1" s="935"/>
      <c r="URT1" s="935"/>
      <c r="URU1" s="935"/>
      <c r="URV1" s="935"/>
      <c r="URW1" s="935"/>
      <c r="URX1" s="935"/>
      <c r="URY1" s="935"/>
      <c r="URZ1" s="935"/>
      <c r="USA1" s="935"/>
      <c r="USB1" s="935"/>
      <c r="USC1" s="935"/>
      <c r="USD1" s="935"/>
      <c r="USE1" s="935"/>
      <c r="USF1" s="935"/>
      <c r="USG1" s="935"/>
      <c r="USH1" s="935"/>
      <c r="USI1" s="935"/>
      <c r="USJ1" s="935"/>
      <c r="USK1" s="935"/>
      <c r="USL1" s="935"/>
      <c r="USM1" s="935"/>
      <c r="USN1" s="935"/>
      <c r="USO1" s="935"/>
      <c r="USP1" s="935"/>
      <c r="USQ1" s="935"/>
      <c r="USR1" s="935"/>
      <c r="USS1" s="935"/>
      <c r="UST1" s="935"/>
      <c r="USU1" s="935"/>
      <c r="USV1" s="935"/>
      <c r="USW1" s="935"/>
      <c r="USX1" s="935"/>
      <c r="USY1" s="935"/>
      <c r="USZ1" s="935"/>
      <c r="UTA1" s="935"/>
      <c r="UTB1" s="935"/>
      <c r="UTC1" s="935"/>
      <c r="UTD1" s="935"/>
      <c r="UTE1" s="935"/>
      <c r="UTF1" s="935"/>
      <c r="UTG1" s="935"/>
      <c r="UTH1" s="935"/>
      <c r="UTI1" s="935"/>
      <c r="UTJ1" s="935"/>
      <c r="UTK1" s="935"/>
      <c r="UTL1" s="935"/>
      <c r="UTM1" s="935"/>
      <c r="UTN1" s="935"/>
      <c r="UTO1" s="935"/>
      <c r="UTP1" s="935"/>
      <c r="UTQ1" s="935"/>
      <c r="UTR1" s="935"/>
      <c r="UTS1" s="935"/>
      <c r="UTT1" s="935"/>
      <c r="UTU1" s="935"/>
      <c r="UTV1" s="935"/>
      <c r="UTW1" s="935"/>
      <c r="UTX1" s="935"/>
      <c r="UTY1" s="935"/>
      <c r="UTZ1" s="935"/>
      <c r="UUA1" s="935"/>
      <c r="UUB1" s="935"/>
      <c r="UUC1" s="935"/>
      <c r="UUD1" s="935"/>
      <c r="UUE1" s="935"/>
      <c r="UUF1" s="935"/>
      <c r="UUG1" s="935"/>
      <c r="UUH1" s="935"/>
      <c r="UUI1" s="935"/>
      <c r="UUJ1" s="935"/>
      <c r="UUK1" s="935"/>
      <c r="UUL1" s="935"/>
      <c r="UUM1" s="935"/>
      <c r="UUN1" s="935"/>
      <c r="UUO1" s="935"/>
      <c r="UUP1" s="935"/>
      <c r="UUQ1" s="935"/>
      <c r="UUR1" s="935"/>
      <c r="UUS1" s="935"/>
      <c r="UUT1" s="935"/>
      <c r="UUU1" s="935"/>
      <c r="UUV1" s="935"/>
      <c r="UUW1" s="935"/>
      <c r="UUX1" s="935"/>
      <c r="UUY1" s="935"/>
      <c r="UUZ1" s="935"/>
      <c r="UVA1" s="935"/>
      <c r="UVB1" s="935"/>
      <c r="UVC1" s="935"/>
      <c r="UVD1" s="935"/>
      <c r="UVE1" s="935"/>
      <c r="UVF1" s="935"/>
      <c r="UVG1" s="935"/>
      <c r="UVH1" s="935"/>
      <c r="UVI1" s="935"/>
      <c r="UVJ1" s="935"/>
      <c r="UVK1" s="935"/>
      <c r="UVL1" s="935"/>
      <c r="UVM1" s="935"/>
      <c r="UVN1" s="935"/>
      <c r="UVO1" s="935"/>
      <c r="UVP1" s="935"/>
      <c r="UVQ1" s="935"/>
      <c r="UVR1" s="935"/>
      <c r="UVS1" s="935"/>
      <c r="UVT1" s="935"/>
      <c r="UVU1" s="935"/>
      <c r="UVV1" s="935"/>
      <c r="UVW1" s="935"/>
      <c r="UVX1" s="935"/>
      <c r="UVY1" s="935"/>
      <c r="UVZ1" s="935"/>
      <c r="UWA1" s="935"/>
      <c r="UWB1" s="935"/>
      <c r="UWC1" s="935"/>
      <c r="UWD1" s="935"/>
      <c r="UWE1" s="935"/>
      <c r="UWF1" s="935"/>
      <c r="UWG1" s="935"/>
      <c r="UWH1" s="935"/>
      <c r="UWI1" s="935"/>
      <c r="UWJ1" s="935"/>
      <c r="UWK1" s="935"/>
      <c r="UWL1" s="935"/>
      <c r="UWM1" s="935"/>
      <c r="UWN1" s="935"/>
      <c r="UWO1" s="935"/>
      <c r="UWP1" s="935"/>
      <c r="UWQ1" s="935"/>
      <c r="UWR1" s="935"/>
      <c r="UWS1" s="935"/>
      <c r="UWT1" s="935"/>
      <c r="UWU1" s="935"/>
      <c r="UWV1" s="935"/>
      <c r="UWW1" s="935"/>
      <c r="UWX1" s="935"/>
      <c r="UWY1" s="935"/>
      <c r="UWZ1" s="935"/>
      <c r="UXA1" s="935"/>
      <c r="UXB1" s="935"/>
      <c r="UXC1" s="935"/>
      <c r="UXD1" s="935"/>
      <c r="UXE1" s="935"/>
      <c r="UXF1" s="935"/>
      <c r="UXG1" s="935"/>
      <c r="UXH1" s="935"/>
      <c r="UXI1" s="935"/>
      <c r="UXJ1" s="935"/>
      <c r="UXK1" s="935"/>
      <c r="UXL1" s="935"/>
      <c r="UXM1" s="935"/>
      <c r="UXN1" s="935"/>
      <c r="UXO1" s="935"/>
      <c r="UXP1" s="935"/>
      <c r="UXQ1" s="935"/>
      <c r="UXR1" s="935"/>
      <c r="UXS1" s="935"/>
      <c r="UXT1" s="935"/>
      <c r="UXU1" s="935"/>
      <c r="UXV1" s="935"/>
      <c r="UXW1" s="935"/>
      <c r="UXX1" s="935"/>
      <c r="UXY1" s="935"/>
      <c r="UXZ1" s="935"/>
      <c r="UYA1" s="935"/>
      <c r="UYB1" s="935"/>
      <c r="UYC1" s="935"/>
      <c r="UYD1" s="935"/>
      <c r="UYE1" s="935"/>
      <c r="UYF1" s="935"/>
      <c r="UYG1" s="935"/>
      <c r="UYH1" s="935"/>
      <c r="UYI1" s="935"/>
      <c r="UYJ1" s="935"/>
      <c r="UYK1" s="935"/>
      <c r="UYL1" s="935"/>
      <c r="UYM1" s="935"/>
      <c r="UYN1" s="935"/>
      <c r="UYO1" s="935"/>
      <c r="UYP1" s="935"/>
      <c r="UYQ1" s="935"/>
      <c r="UYR1" s="935"/>
      <c r="UYS1" s="935"/>
      <c r="UYT1" s="935"/>
      <c r="UYU1" s="935"/>
      <c r="UYV1" s="935"/>
      <c r="UYW1" s="935"/>
      <c r="UYX1" s="935"/>
      <c r="UYY1" s="935"/>
      <c r="UYZ1" s="935"/>
      <c r="UZA1" s="935"/>
      <c r="UZB1" s="935"/>
      <c r="UZC1" s="935"/>
      <c r="UZD1" s="935"/>
      <c r="UZE1" s="935"/>
      <c r="UZF1" s="935"/>
      <c r="UZG1" s="935"/>
      <c r="UZH1" s="935"/>
      <c r="UZI1" s="935"/>
      <c r="UZJ1" s="935"/>
      <c r="UZK1" s="935"/>
      <c r="UZL1" s="935"/>
      <c r="UZM1" s="935"/>
      <c r="UZN1" s="935"/>
      <c r="UZO1" s="935"/>
      <c r="UZP1" s="935"/>
      <c r="UZQ1" s="935"/>
      <c r="UZR1" s="935"/>
      <c r="UZS1" s="935"/>
      <c r="UZT1" s="935"/>
      <c r="UZU1" s="935"/>
      <c r="UZV1" s="935"/>
      <c r="UZW1" s="935"/>
      <c r="UZX1" s="935"/>
      <c r="UZY1" s="935"/>
      <c r="UZZ1" s="935"/>
      <c r="VAA1" s="935"/>
      <c r="VAB1" s="935"/>
      <c r="VAC1" s="935"/>
      <c r="VAD1" s="935"/>
      <c r="VAE1" s="935"/>
      <c r="VAF1" s="935"/>
      <c r="VAG1" s="935"/>
      <c r="VAH1" s="935"/>
      <c r="VAI1" s="935"/>
      <c r="VAJ1" s="935"/>
      <c r="VAK1" s="935"/>
      <c r="VAL1" s="935"/>
      <c r="VAM1" s="935"/>
      <c r="VAN1" s="935"/>
      <c r="VAO1" s="935"/>
      <c r="VAP1" s="935"/>
      <c r="VAQ1" s="935"/>
      <c r="VAR1" s="935"/>
      <c r="VAS1" s="935"/>
      <c r="VAT1" s="935"/>
      <c r="VAU1" s="935"/>
      <c r="VAV1" s="935"/>
      <c r="VAW1" s="935"/>
      <c r="VAX1" s="935"/>
      <c r="VAY1" s="935"/>
      <c r="VAZ1" s="935"/>
      <c r="VBA1" s="935"/>
      <c r="VBB1" s="935"/>
      <c r="VBC1" s="935"/>
      <c r="VBD1" s="935"/>
      <c r="VBE1" s="935"/>
      <c r="VBF1" s="935"/>
      <c r="VBG1" s="935"/>
      <c r="VBH1" s="935"/>
      <c r="VBI1" s="935"/>
      <c r="VBJ1" s="935"/>
      <c r="VBK1" s="935"/>
      <c r="VBL1" s="935"/>
      <c r="VBM1" s="935"/>
      <c r="VBN1" s="935"/>
      <c r="VBO1" s="935"/>
      <c r="VBP1" s="935"/>
      <c r="VBQ1" s="935"/>
      <c r="VBR1" s="935"/>
      <c r="VBS1" s="935"/>
      <c r="VBT1" s="935"/>
      <c r="VBU1" s="935"/>
      <c r="VBV1" s="935"/>
      <c r="VBW1" s="935"/>
      <c r="VBX1" s="935"/>
      <c r="VBY1" s="935"/>
      <c r="VBZ1" s="935"/>
      <c r="VCA1" s="935"/>
      <c r="VCB1" s="935"/>
      <c r="VCC1" s="935"/>
      <c r="VCD1" s="935"/>
      <c r="VCE1" s="935"/>
      <c r="VCF1" s="935"/>
      <c r="VCG1" s="935"/>
      <c r="VCH1" s="935"/>
      <c r="VCI1" s="935"/>
      <c r="VCJ1" s="935"/>
      <c r="VCK1" s="935"/>
      <c r="VCL1" s="935"/>
      <c r="VCM1" s="935"/>
      <c r="VCN1" s="935"/>
      <c r="VCO1" s="935"/>
      <c r="VCP1" s="935"/>
      <c r="VCQ1" s="935"/>
      <c r="VCR1" s="935"/>
      <c r="VCS1" s="935"/>
      <c r="VCT1" s="935"/>
      <c r="VCU1" s="935"/>
      <c r="VCV1" s="935"/>
      <c r="VCW1" s="935"/>
      <c r="VCX1" s="935"/>
      <c r="VCY1" s="935"/>
      <c r="VCZ1" s="935"/>
      <c r="VDA1" s="935"/>
      <c r="VDB1" s="935"/>
      <c r="VDC1" s="935"/>
      <c r="VDD1" s="935"/>
      <c r="VDE1" s="935"/>
      <c r="VDF1" s="935"/>
      <c r="VDG1" s="935"/>
      <c r="VDH1" s="935"/>
      <c r="VDI1" s="935"/>
      <c r="VDJ1" s="935"/>
      <c r="VDK1" s="935"/>
      <c r="VDL1" s="935"/>
      <c r="VDM1" s="935"/>
      <c r="VDN1" s="935"/>
      <c r="VDO1" s="935"/>
      <c r="VDP1" s="935"/>
      <c r="VDQ1" s="935"/>
      <c r="VDR1" s="935"/>
      <c r="VDS1" s="935"/>
      <c r="VDT1" s="935"/>
      <c r="VDU1" s="935"/>
      <c r="VDV1" s="935"/>
      <c r="VDW1" s="935"/>
      <c r="VDX1" s="935"/>
      <c r="VDY1" s="935"/>
      <c r="VDZ1" s="935"/>
      <c r="VEA1" s="935"/>
      <c r="VEB1" s="935"/>
      <c r="VEC1" s="935"/>
      <c r="VED1" s="935"/>
      <c r="VEE1" s="935"/>
      <c r="VEF1" s="935"/>
      <c r="VEG1" s="935"/>
      <c r="VEH1" s="935"/>
      <c r="VEI1" s="935"/>
      <c r="VEJ1" s="935"/>
      <c r="VEK1" s="935"/>
      <c r="VEL1" s="935"/>
      <c r="VEM1" s="935"/>
      <c r="VEN1" s="935"/>
      <c r="VEO1" s="935"/>
      <c r="VEP1" s="935"/>
      <c r="VEQ1" s="935"/>
      <c r="VER1" s="935"/>
      <c r="VES1" s="935"/>
      <c r="VET1" s="935"/>
      <c r="VEU1" s="935"/>
      <c r="VEV1" s="935"/>
      <c r="VEW1" s="935"/>
      <c r="VEX1" s="935"/>
      <c r="VEY1" s="935"/>
      <c r="VEZ1" s="935"/>
      <c r="VFA1" s="935"/>
      <c r="VFB1" s="935"/>
      <c r="VFC1" s="935"/>
      <c r="VFD1" s="935"/>
      <c r="VFE1" s="935"/>
      <c r="VFF1" s="935"/>
      <c r="VFG1" s="935"/>
      <c r="VFH1" s="935"/>
      <c r="VFI1" s="935"/>
      <c r="VFJ1" s="935"/>
      <c r="VFK1" s="935"/>
      <c r="VFL1" s="935"/>
      <c r="VFM1" s="935"/>
      <c r="VFN1" s="935"/>
      <c r="VFO1" s="935"/>
      <c r="VFP1" s="935"/>
      <c r="VFQ1" s="935"/>
      <c r="VFR1" s="935"/>
      <c r="VFS1" s="935"/>
      <c r="VFT1" s="935"/>
      <c r="VFU1" s="935"/>
      <c r="VFV1" s="935"/>
      <c r="VFW1" s="935"/>
      <c r="VFX1" s="935"/>
      <c r="VFY1" s="935"/>
      <c r="VFZ1" s="935"/>
      <c r="VGA1" s="935"/>
      <c r="VGB1" s="935"/>
      <c r="VGC1" s="935"/>
      <c r="VGD1" s="935"/>
      <c r="VGE1" s="935"/>
      <c r="VGF1" s="935"/>
      <c r="VGG1" s="935"/>
      <c r="VGH1" s="935"/>
      <c r="VGI1" s="935"/>
      <c r="VGJ1" s="935"/>
      <c r="VGK1" s="935"/>
      <c r="VGL1" s="935"/>
      <c r="VGM1" s="935"/>
      <c r="VGN1" s="935"/>
      <c r="VGO1" s="935"/>
      <c r="VGP1" s="935"/>
      <c r="VGQ1" s="935"/>
      <c r="VGR1" s="935"/>
      <c r="VGS1" s="935"/>
      <c r="VGT1" s="935"/>
      <c r="VGU1" s="935"/>
      <c r="VGV1" s="935"/>
      <c r="VGW1" s="935"/>
      <c r="VGX1" s="935"/>
      <c r="VGY1" s="935"/>
      <c r="VGZ1" s="935"/>
      <c r="VHA1" s="935"/>
      <c r="VHB1" s="935"/>
      <c r="VHC1" s="935"/>
      <c r="VHD1" s="935"/>
      <c r="VHE1" s="935"/>
      <c r="VHF1" s="935"/>
      <c r="VHG1" s="935"/>
      <c r="VHH1" s="935"/>
      <c r="VHI1" s="935"/>
      <c r="VHJ1" s="935"/>
      <c r="VHK1" s="935"/>
      <c r="VHL1" s="935"/>
      <c r="VHM1" s="935"/>
      <c r="VHN1" s="935"/>
      <c r="VHO1" s="935"/>
      <c r="VHP1" s="935"/>
      <c r="VHQ1" s="935"/>
      <c r="VHR1" s="935"/>
      <c r="VHS1" s="935"/>
      <c r="VHT1" s="935"/>
      <c r="VHU1" s="935"/>
      <c r="VHV1" s="935"/>
      <c r="VHW1" s="935"/>
      <c r="VHX1" s="935"/>
      <c r="VHY1" s="935"/>
      <c r="VHZ1" s="935"/>
      <c r="VIA1" s="935"/>
      <c r="VIB1" s="935"/>
      <c r="VIC1" s="935"/>
      <c r="VID1" s="935"/>
      <c r="VIE1" s="935"/>
      <c r="VIF1" s="935"/>
      <c r="VIG1" s="935"/>
      <c r="VIH1" s="935"/>
      <c r="VII1" s="935"/>
      <c r="VIJ1" s="935"/>
      <c r="VIK1" s="935"/>
      <c r="VIL1" s="935"/>
      <c r="VIM1" s="935"/>
      <c r="VIN1" s="935"/>
      <c r="VIO1" s="935"/>
      <c r="VIP1" s="935"/>
      <c r="VIQ1" s="935"/>
      <c r="VIR1" s="935"/>
      <c r="VIS1" s="935"/>
      <c r="VIT1" s="935"/>
      <c r="VIU1" s="935"/>
      <c r="VIV1" s="935"/>
      <c r="VIW1" s="935"/>
      <c r="VIX1" s="935"/>
      <c r="VIY1" s="935"/>
      <c r="VIZ1" s="935"/>
      <c r="VJA1" s="935"/>
      <c r="VJB1" s="935"/>
      <c r="VJC1" s="935"/>
      <c r="VJD1" s="935"/>
      <c r="VJE1" s="935"/>
      <c r="VJF1" s="935"/>
      <c r="VJG1" s="935"/>
      <c r="VJH1" s="935"/>
      <c r="VJI1" s="935"/>
      <c r="VJJ1" s="935"/>
      <c r="VJK1" s="935"/>
      <c r="VJL1" s="935"/>
      <c r="VJM1" s="935"/>
      <c r="VJN1" s="935"/>
      <c r="VJO1" s="935"/>
      <c r="VJP1" s="935"/>
      <c r="VJQ1" s="935"/>
      <c r="VJR1" s="935"/>
      <c r="VJS1" s="935"/>
      <c r="VJT1" s="935"/>
      <c r="VJU1" s="935"/>
      <c r="VJV1" s="935"/>
      <c r="VJW1" s="935"/>
      <c r="VJX1" s="935"/>
      <c r="VJY1" s="935"/>
      <c r="VJZ1" s="935"/>
      <c r="VKA1" s="935"/>
      <c r="VKB1" s="935"/>
      <c r="VKC1" s="935"/>
      <c r="VKD1" s="935"/>
      <c r="VKE1" s="935"/>
      <c r="VKF1" s="935"/>
      <c r="VKG1" s="935"/>
      <c r="VKH1" s="935"/>
      <c r="VKI1" s="935"/>
      <c r="VKJ1" s="935"/>
      <c r="VKK1" s="935"/>
      <c r="VKL1" s="935"/>
      <c r="VKM1" s="935"/>
      <c r="VKN1" s="935"/>
      <c r="VKO1" s="935"/>
      <c r="VKP1" s="935"/>
      <c r="VKQ1" s="935"/>
      <c r="VKR1" s="935"/>
      <c r="VKS1" s="935"/>
      <c r="VKT1" s="935"/>
      <c r="VKU1" s="935"/>
      <c r="VKV1" s="935"/>
      <c r="VKW1" s="935"/>
      <c r="VKX1" s="935"/>
      <c r="VKY1" s="935"/>
      <c r="VKZ1" s="935"/>
      <c r="VLA1" s="935"/>
      <c r="VLB1" s="935"/>
      <c r="VLC1" s="935"/>
      <c r="VLD1" s="935"/>
      <c r="VLE1" s="935"/>
      <c r="VLF1" s="935"/>
      <c r="VLG1" s="935"/>
      <c r="VLH1" s="935"/>
      <c r="VLI1" s="935"/>
      <c r="VLJ1" s="935"/>
      <c r="VLK1" s="935"/>
      <c r="VLL1" s="935"/>
      <c r="VLM1" s="935"/>
      <c r="VLN1" s="935"/>
      <c r="VLO1" s="935"/>
      <c r="VLP1" s="935"/>
      <c r="VLQ1" s="935"/>
      <c r="VLR1" s="935"/>
      <c r="VLS1" s="935"/>
      <c r="VLT1" s="935"/>
      <c r="VLU1" s="935"/>
      <c r="VLV1" s="935"/>
      <c r="VLW1" s="935"/>
      <c r="VLX1" s="935"/>
      <c r="VLY1" s="935"/>
      <c r="VLZ1" s="935"/>
      <c r="VMA1" s="935"/>
      <c r="VMB1" s="935"/>
      <c r="VMC1" s="935"/>
      <c r="VMD1" s="935"/>
      <c r="VME1" s="935"/>
      <c r="VMF1" s="935"/>
      <c r="VMG1" s="935"/>
      <c r="VMH1" s="935"/>
      <c r="VMI1" s="935"/>
      <c r="VMJ1" s="935"/>
      <c r="VMK1" s="935"/>
      <c r="VML1" s="935"/>
      <c r="VMM1" s="935"/>
      <c r="VMN1" s="935"/>
      <c r="VMO1" s="935"/>
      <c r="VMP1" s="935"/>
      <c r="VMQ1" s="935"/>
      <c r="VMR1" s="935"/>
      <c r="VMS1" s="935"/>
      <c r="VMT1" s="935"/>
      <c r="VMU1" s="935"/>
      <c r="VMV1" s="935"/>
      <c r="VMW1" s="935"/>
      <c r="VMX1" s="935"/>
      <c r="VMY1" s="935"/>
      <c r="VMZ1" s="935"/>
      <c r="VNA1" s="935"/>
      <c r="VNB1" s="935"/>
      <c r="VNC1" s="935"/>
      <c r="VND1" s="935"/>
      <c r="VNE1" s="935"/>
      <c r="VNF1" s="935"/>
      <c r="VNG1" s="935"/>
      <c r="VNH1" s="935"/>
      <c r="VNI1" s="935"/>
      <c r="VNJ1" s="935"/>
      <c r="VNK1" s="935"/>
      <c r="VNL1" s="935"/>
      <c r="VNM1" s="935"/>
      <c r="VNN1" s="935"/>
      <c r="VNO1" s="935"/>
      <c r="VNP1" s="935"/>
      <c r="VNQ1" s="935"/>
      <c r="VNR1" s="935"/>
      <c r="VNS1" s="935"/>
      <c r="VNT1" s="935"/>
      <c r="VNU1" s="935"/>
      <c r="VNV1" s="935"/>
      <c r="VNW1" s="935"/>
      <c r="VNX1" s="935"/>
      <c r="VNY1" s="935"/>
      <c r="VNZ1" s="935"/>
      <c r="VOA1" s="935"/>
      <c r="VOB1" s="935"/>
      <c r="VOC1" s="935"/>
      <c r="VOD1" s="935"/>
      <c r="VOE1" s="935"/>
      <c r="VOF1" s="935"/>
      <c r="VOG1" s="935"/>
      <c r="VOH1" s="935"/>
      <c r="VOI1" s="935"/>
      <c r="VOJ1" s="935"/>
      <c r="VOK1" s="935"/>
      <c r="VOL1" s="935"/>
      <c r="VOM1" s="935"/>
      <c r="VON1" s="935"/>
      <c r="VOO1" s="935"/>
      <c r="VOP1" s="935"/>
      <c r="VOQ1" s="935"/>
      <c r="VOR1" s="935"/>
      <c r="VOS1" s="935"/>
      <c r="VOT1" s="935"/>
      <c r="VOU1" s="935"/>
      <c r="VOV1" s="935"/>
      <c r="VOW1" s="935"/>
      <c r="VOX1" s="935"/>
      <c r="VOY1" s="935"/>
      <c r="VOZ1" s="935"/>
      <c r="VPA1" s="935"/>
      <c r="VPB1" s="935"/>
      <c r="VPC1" s="935"/>
      <c r="VPD1" s="935"/>
      <c r="VPE1" s="935"/>
      <c r="VPF1" s="935"/>
      <c r="VPG1" s="935"/>
      <c r="VPH1" s="935"/>
      <c r="VPI1" s="935"/>
      <c r="VPJ1" s="935"/>
      <c r="VPK1" s="935"/>
      <c r="VPL1" s="935"/>
      <c r="VPM1" s="935"/>
      <c r="VPN1" s="935"/>
      <c r="VPO1" s="935"/>
      <c r="VPP1" s="935"/>
      <c r="VPQ1" s="935"/>
      <c r="VPR1" s="935"/>
      <c r="VPS1" s="935"/>
      <c r="VPT1" s="935"/>
      <c r="VPU1" s="935"/>
      <c r="VPV1" s="935"/>
      <c r="VPW1" s="935"/>
      <c r="VPX1" s="935"/>
      <c r="VPY1" s="935"/>
      <c r="VPZ1" s="935"/>
      <c r="VQA1" s="935"/>
      <c r="VQB1" s="935"/>
      <c r="VQC1" s="935"/>
      <c r="VQD1" s="935"/>
      <c r="VQE1" s="935"/>
      <c r="VQF1" s="935"/>
      <c r="VQG1" s="935"/>
      <c r="VQH1" s="935"/>
      <c r="VQI1" s="935"/>
      <c r="VQJ1" s="935"/>
      <c r="VQK1" s="935"/>
      <c r="VQL1" s="935"/>
      <c r="VQM1" s="935"/>
      <c r="VQN1" s="935"/>
      <c r="VQO1" s="935"/>
      <c r="VQP1" s="935"/>
      <c r="VQQ1" s="935"/>
      <c r="VQR1" s="935"/>
      <c r="VQS1" s="935"/>
      <c r="VQT1" s="935"/>
      <c r="VQU1" s="935"/>
      <c r="VQV1" s="935"/>
      <c r="VQW1" s="935"/>
      <c r="VQX1" s="935"/>
      <c r="VQY1" s="935"/>
      <c r="VQZ1" s="935"/>
      <c r="VRA1" s="935"/>
      <c r="VRB1" s="935"/>
      <c r="VRC1" s="935"/>
      <c r="VRD1" s="935"/>
      <c r="VRE1" s="935"/>
      <c r="VRF1" s="935"/>
      <c r="VRG1" s="935"/>
      <c r="VRH1" s="935"/>
      <c r="VRI1" s="935"/>
      <c r="VRJ1" s="935"/>
      <c r="VRK1" s="935"/>
      <c r="VRL1" s="935"/>
      <c r="VRM1" s="935"/>
      <c r="VRN1" s="935"/>
      <c r="VRO1" s="935"/>
      <c r="VRP1" s="935"/>
      <c r="VRQ1" s="935"/>
      <c r="VRR1" s="935"/>
      <c r="VRS1" s="935"/>
      <c r="VRT1" s="935"/>
      <c r="VRU1" s="935"/>
      <c r="VRV1" s="935"/>
      <c r="VRW1" s="935"/>
      <c r="VRX1" s="935"/>
      <c r="VRY1" s="935"/>
      <c r="VRZ1" s="935"/>
      <c r="VSA1" s="935"/>
      <c r="VSB1" s="935"/>
      <c r="VSC1" s="935"/>
      <c r="VSD1" s="935"/>
      <c r="VSE1" s="935"/>
      <c r="VSF1" s="935"/>
      <c r="VSG1" s="935"/>
      <c r="VSH1" s="935"/>
      <c r="VSI1" s="935"/>
      <c r="VSJ1" s="935"/>
      <c r="VSK1" s="935"/>
      <c r="VSL1" s="935"/>
      <c r="VSM1" s="935"/>
      <c r="VSN1" s="935"/>
      <c r="VSO1" s="935"/>
      <c r="VSP1" s="935"/>
      <c r="VSQ1" s="935"/>
      <c r="VSR1" s="935"/>
      <c r="VSS1" s="935"/>
      <c r="VST1" s="935"/>
      <c r="VSU1" s="935"/>
      <c r="VSV1" s="935"/>
      <c r="VSW1" s="935"/>
      <c r="VSX1" s="935"/>
      <c r="VSY1" s="935"/>
      <c r="VSZ1" s="935"/>
      <c r="VTA1" s="935"/>
      <c r="VTB1" s="935"/>
      <c r="VTC1" s="935"/>
      <c r="VTD1" s="935"/>
      <c r="VTE1" s="935"/>
      <c r="VTF1" s="935"/>
      <c r="VTG1" s="935"/>
      <c r="VTH1" s="935"/>
      <c r="VTI1" s="935"/>
      <c r="VTJ1" s="935"/>
      <c r="VTK1" s="935"/>
      <c r="VTL1" s="935"/>
      <c r="VTM1" s="935"/>
      <c r="VTN1" s="935"/>
      <c r="VTO1" s="935"/>
      <c r="VTP1" s="935"/>
      <c r="VTQ1" s="935"/>
      <c r="VTR1" s="935"/>
      <c r="VTS1" s="935"/>
      <c r="VTT1" s="935"/>
      <c r="VTU1" s="935"/>
      <c r="VTV1" s="935"/>
      <c r="VTW1" s="935"/>
      <c r="VTX1" s="935"/>
      <c r="VTY1" s="935"/>
      <c r="VTZ1" s="935"/>
      <c r="VUA1" s="935"/>
      <c r="VUB1" s="935"/>
      <c r="VUC1" s="935"/>
      <c r="VUD1" s="935"/>
      <c r="VUE1" s="935"/>
      <c r="VUF1" s="935"/>
      <c r="VUG1" s="935"/>
      <c r="VUH1" s="935"/>
      <c r="VUI1" s="935"/>
      <c r="VUJ1" s="935"/>
      <c r="VUK1" s="935"/>
      <c r="VUL1" s="935"/>
      <c r="VUM1" s="935"/>
      <c r="VUN1" s="935"/>
      <c r="VUO1" s="935"/>
      <c r="VUP1" s="935"/>
      <c r="VUQ1" s="935"/>
      <c r="VUR1" s="935"/>
      <c r="VUS1" s="935"/>
      <c r="VUT1" s="935"/>
      <c r="VUU1" s="935"/>
      <c r="VUV1" s="935"/>
      <c r="VUW1" s="935"/>
      <c r="VUX1" s="935"/>
      <c r="VUY1" s="935"/>
      <c r="VUZ1" s="935"/>
      <c r="VVA1" s="935"/>
      <c r="VVB1" s="935"/>
      <c r="VVC1" s="935"/>
      <c r="VVD1" s="935"/>
      <c r="VVE1" s="935"/>
      <c r="VVF1" s="935"/>
      <c r="VVG1" s="935"/>
      <c r="VVH1" s="935"/>
      <c r="VVI1" s="935"/>
      <c r="VVJ1" s="935"/>
      <c r="VVK1" s="935"/>
      <c r="VVL1" s="935"/>
      <c r="VVM1" s="935"/>
      <c r="VVN1" s="935"/>
      <c r="VVO1" s="935"/>
      <c r="VVP1" s="935"/>
      <c r="VVQ1" s="935"/>
      <c r="VVR1" s="935"/>
      <c r="VVS1" s="935"/>
      <c r="VVT1" s="935"/>
      <c r="VVU1" s="935"/>
      <c r="VVV1" s="935"/>
      <c r="VVW1" s="935"/>
      <c r="VVX1" s="935"/>
      <c r="VVY1" s="935"/>
      <c r="VVZ1" s="935"/>
      <c r="VWA1" s="935"/>
      <c r="VWB1" s="935"/>
      <c r="VWC1" s="935"/>
      <c r="VWD1" s="935"/>
      <c r="VWE1" s="935"/>
      <c r="VWF1" s="935"/>
      <c r="VWG1" s="935"/>
      <c r="VWH1" s="935"/>
      <c r="VWI1" s="935"/>
      <c r="VWJ1" s="935"/>
      <c r="VWK1" s="935"/>
      <c r="VWL1" s="935"/>
      <c r="VWM1" s="935"/>
      <c r="VWN1" s="935"/>
      <c r="VWO1" s="935"/>
      <c r="VWP1" s="935"/>
      <c r="VWQ1" s="935"/>
      <c r="VWR1" s="935"/>
      <c r="VWS1" s="935"/>
      <c r="VWT1" s="935"/>
      <c r="VWU1" s="935"/>
      <c r="VWV1" s="935"/>
      <c r="VWW1" s="935"/>
      <c r="VWX1" s="935"/>
      <c r="VWY1" s="935"/>
      <c r="VWZ1" s="935"/>
      <c r="VXA1" s="935"/>
      <c r="VXB1" s="935"/>
      <c r="VXC1" s="935"/>
      <c r="VXD1" s="935"/>
      <c r="VXE1" s="935"/>
      <c r="VXF1" s="935"/>
      <c r="VXG1" s="935"/>
      <c r="VXH1" s="935"/>
      <c r="VXI1" s="935"/>
      <c r="VXJ1" s="935"/>
      <c r="VXK1" s="935"/>
      <c r="VXL1" s="935"/>
      <c r="VXM1" s="935"/>
      <c r="VXN1" s="935"/>
      <c r="VXO1" s="935"/>
      <c r="VXP1" s="935"/>
      <c r="VXQ1" s="935"/>
      <c r="VXR1" s="935"/>
      <c r="VXS1" s="935"/>
      <c r="VXT1" s="935"/>
      <c r="VXU1" s="935"/>
      <c r="VXV1" s="935"/>
      <c r="VXW1" s="935"/>
      <c r="VXX1" s="935"/>
      <c r="VXY1" s="935"/>
      <c r="VXZ1" s="935"/>
      <c r="VYA1" s="935"/>
      <c r="VYB1" s="935"/>
      <c r="VYC1" s="935"/>
      <c r="VYD1" s="935"/>
      <c r="VYE1" s="935"/>
      <c r="VYF1" s="935"/>
      <c r="VYG1" s="935"/>
      <c r="VYH1" s="935"/>
      <c r="VYI1" s="935"/>
      <c r="VYJ1" s="935"/>
      <c r="VYK1" s="935"/>
      <c r="VYL1" s="935"/>
      <c r="VYM1" s="935"/>
      <c r="VYN1" s="935"/>
      <c r="VYO1" s="935"/>
      <c r="VYP1" s="935"/>
      <c r="VYQ1" s="935"/>
      <c r="VYR1" s="935"/>
      <c r="VYS1" s="935"/>
      <c r="VYT1" s="935"/>
      <c r="VYU1" s="935"/>
      <c r="VYV1" s="935"/>
      <c r="VYW1" s="935"/>
      <c r="VYX1" s="935"/>
      <c r="VYY1" s="935"/>
      <c r="VYZ1" s="935"/>
      <c r="VZA1" s="935"/>
      <c r="VZB1" s="935"/>
      <c r="VZC1" s="935"/>
      <c r="VZD1" s="935"/>
      <c r="VZE1" s="935"/>
      <c r="VZF1" s="935"/>
      <c r="VZG1" s="935"/>
      <c r="VZH1" s="935"/>
      <c r="VZI1" s="935"/>
      <c r="VZJ1" s="935"/>
      <c r="VZK1" s="935"/>
      <c r="VZL1" s="935"/>
      <c r="VZM1" s="935"/>
      <c r="VZN1" s="935"/>
      <c r="VZO1" s="935"/>
      <c r="VZP1" s="935"/>
      <c r="VZQ1" s="935"/>
      <c r="VZR1" s="935"/>
      <c r="VZS1" s="935"/>
      <c r="VZT1" s="935"/>
      <c r="VZU1" s="935"/>
      <c r="VZV1" s="935"/>
      <c r="VZW1" s="935"/>
      <c r="VZX1" s="935"/>
      <c r="VZY1" s="935"/>
      <c r="VZZ1" s="935"/>
      <c r="WAA1" s="935"/>
      <c r="WAB1" s="935"/>
      <c r="WAC1" s="935"/>
      <c r="WAD1" s="935"/>
      <c r="WAE1" s="935"/>
      <c r="WAF1" s="935"/>
      <c r="WAG1" s="935"/>
      <c r="WAH1" s="935"/>
      <c r="WAI1" s="935"/>
      <c r="WAJ1" s="935"/>
      <c r="WAK1" s="935"/>
      <c r="WAL1" s="935"/>
      <c r="WAM1" s="935"/>
      <c r="WAN1" s="935"/>
      <c r="WAO1" s="935"/>
      <c r="WAP1" s="935"/>
      <c r="WAQ1" s="935"/>
      <c r="WAR1" s="935"/>
      <c r="WAS1" s="935"/>
      <c r="WAT1" s="935"/>
      <c r="WAU1" s="935"/>
      <c r="WAV1" s="935"/>
      <c r="WAW1" s="935"/>
      <c r="WAX1" s="935"/>
      <c r="WAY1" s="935"/>
      <c r="WAZ1" s="935"/>
      <c r="WBA1" s="935"/>
      <c r="WBB1" s="935"/>
      <c r="WBC1" s="935"/>
      <c r="WBD1" s="935"/>
      <c r="WBE1" s="935"/>
      <c r="WBF1" s="935"/>
      <c r="WBG1" s="935"/>
      <c r="WBH1" s="935"/>
      <c r="WBI1" s="935"/>
      <c r="WBJ1" s="935"/>
      <c r="WBK1" s="935"/>
      <c r="WBL1" s="935"/>
      <c r="WBM1" s="935"/>
      <c r="WBN1" s="935"/>
      <c r="WBO1" s="935"/>
      <c r="WBP1" s="935"/>
      <c r="WBQ1" s="935"/>
      <c r="WBR1" s="935"/>
      <c r="WBS1" s="935"/>
      <c r="WBT1" s="935"/>
      <c r="WBU1" s="935"/>
      <c r="WBV1" s="935"/>
      <c r="WBW1" s="935"/>
      <c r="WBX1" s="935"/>
      <c r="WBY1" s="935"/>
      <c r="WBZ1" s="935"/>
      <c r="WCA1" s="935"/>
      <c r="WCB1" s="935"/>
      <c r="WCC1" s="935"/>
      <c r="WCD1" s="935"/>
      <c r="WCE1" s="935"/>
      <c r="WCF1" s="935"/>
      <c r="WCG1" s="935"/>
      <c r="WCH1" s="935"/>
      <c r="WCI1" s="935"/>
      <c r="WCJ1" s="935"/>
      <c r="WCK1" s="935"/>
      <c r="WCL1" s="935"/>
      <c r="WCM1" s="935"/>
      <c r="WCN1" s="935"/>
      <c r="WCO1" s="935"/>
      <c r="WCP1" s="935"/>
      <c r="WCQ1" s="935"/>
      <c r="WCR1" s="935"/>
      <c r="WCS1" s="935"/>
      <c r="WCT1" s="935"/>
      <c r="WCU1" s="935"/>
      <c r="WCV1" s="935"/>
      <c r="WCW1" s="935"/>
      <c r="WCX1" s="935"/>
      <c r="WCY1" s="935"/>
      <c r="WCZ1" s="935"/>
      <c r="WDA1" s="935"/>
      <c r="WDB1" s="935"/>
      <c r="WDC1" s="935"/>
      <c r="WDD1" s="935"/>
      <c r="WDE1" s="935"/>
      <c r="WDF1" s="935"/>
      <c r="WDG1" s="935"/>
      <c r="WDH1" s="935"/>
      <c r="WDI1" s="935"/>
      <c r="WDJ1" s="935"/>
      <c r="WDK1" s="935"/>
      <c r="WDL1" s="935"/>
      <c r="WDM1" s="935"/>
      <c r="WDN1" s="935"/>
      <c r="WDO1" s="935"/>
      <c r="WDP1" s="935"/>
      <c r="WDQ1" s="935"/>
      <c r="WDR1" s="935"/>
      <c r="WDS1" s="935"/>
      <c r="WDT1" s="935"/>
      <c r="WDU1" s="935"/>
      <c r="WDV1" s="935"/>
      <c r="WDW1" s="935"/>
      <c r="WDX1" s="935"/>
      <c r="WDY1" s="935"/>
      <c r="WDZ1" s="935"/>
      <c r="WEA1" s="935"/>
      <c r="WEB1" s="935"/>
      <c r="WEC1" s="935"/>
      <c r="WED1" s="935"/>
      <c r="WEE1" s="935"/>
      <c r="WEF1" s="935"/>
      <c r="WEG1" s="935"/>
      <c r="WEH1" s="935"/>
      <c r="WEI1" s="935"/>
      <c r="WEJ1" s="935"/>
      <c r="WEK1" s="935"/>
      <c r="WEL1" s="935"/>
      <c r="WEM1" s="935"/>
      <c r="WEN1" s="935"/>
      <c r="WEO1" s="935"/>
      <c r="WEP1" s="935"/>
      <c r="WEQ1" s="935"/>
      <c r="WER1" s="935"/>
      <c r="WES1" s="935"/>
      <c r="WET1" s="935"/>
      <c r="WEU1" s="935"/>
      <c r="WEV1" s="935"/>
      <c r="WEW1" s="935"/>
      <c r="WEX1" s="935"/>
      <c r="WEY1" s="935"/>
      <c r="WEZ1" s="935"/>
      <c r="WFA1" s="935"/>
      <c r="WFB1" s="935"/>
      <c r="WFC1" s="935"/>
      <c r="WFD1" s="935"/>
      <c r="WFE1" s="935"/>
      <c r="WFF1" s="935"/>
      <c r="WFG1" s="935"/>
      <c r="WFH1" s="935"/>
      <c r="WFI1" s="935"/>
      <c r="WFJ1" s="935"/>
      <c r="WFK1" s="935"/>
      <c r="WFL1" s="935"/>
      <c r="WFM1" s="935"/>
      <c r="WFN1" s="935"/>
      <c r="WFO1" s="935"/>
      <c r="WFP1" s="935"/>
      <c r="WFQ1" s="935"/>
      <c r="WFR1" s="935"/>
      <c r="WFS1" s="935"/>
      <c r="WFT1" s="935"/>
      <c r="WFU1" s="935"/>
      <c r="WFV1" s="935"/>
      <c r="WFW1" s="935"/>
      <c r="WFX1" s="935"/>
      <c r="WFY1" s="935"/>
      <c r="WFZ1" s="935"/>
      <c r="WGA1" s="935"/>
      <c r="WGB1" s="935"/>
      <c r="WGC1" s="935"/>
      <c r="WGD1" s="935"/>
      <c r="WGE1" s="935"/>
      <c r="WGF1" s="935"/>
      <c r="WGG1" s="935"/>
      <c r="WGH1" s="935"/>
      <c r="WGI1" s="935"/>
      <c r="WGJ1" s="935"/>
      <c r="WGK1" s="935"/>
      <c r="WGL1" s="935"/>
      <c r="WGM1" s="935"/>
      <c r="WGN1" s="935"/>
      <c r="WGO1" s="935"/>
      <c r="WGP1" s="935"/>
      <c r="WGQ1" s="935"/>
      <c r="WGR1" s="935"/>
      <c r="WGS1" s="935"/>
      <c r="WGT1" s="935"/>
      <c r="WGU1" s="935"/>
      <c r="WGV1" s="935"/>
      <c r="WGW1" s="935"/>
      <c r="WGX1" s="935"/>
      <c r="WGY1" s="935"/>
      <c r="WGZ1" s="935"/>
      <c r="WHA1" s="935"/>
      <c r="WHB1" s="935"/>
      <c r="WHC1" s="935"/>
      <c r="WHD1" s="935"/>
      <c r="WHE1" s="935"/>
      <c r="WHF1" s="935"/>
      <c r="WHG1" s="935"/>
      <c r="WHH1" s="935"/>
      <c r="WHI1" s="935"/>
      <c r="WHJ1" s="935"/>
      <c r="WHK1" s="935"/>
      <c r="WHL1" s="935"/>
      <c r="WHM1" s="935"/>
      <c r="WHN1" s="935"/>
      <c r="WHO1" s="935"/>
      <c r="WHP1" s="935"/>
      <c r="WHQ1" s="935"/>
      <c r="WHR1" s="935"/>
      <c r="WHS1" s="935"/>
      <c r="WHT1" s="935"/>
      <c r="WHU1" s="935"/>
      <c r="WHV1" s="935"/>
      <c r="WHW1" s="935"/>
      <c r="WHX1" s="935"/>
      <c r="WHY1" s="935"/>
      <c r="WHZ1" s="935"/>
      <c r="WIA1" s="935"/>
      <c r="WIB1" s="935"/>
      <c r="WIC1" s="935"/>
      <c r="WID1" s="935"/>
      <c r="WIE1" s="935"/>
      <c r="WIF1" s="935"/>
      <c r="WIG1" s="935"/>
      <c r="WIH1" s="935"/>
      <c r="WII1" s="935"/>
      <c r="WIJ1" s="935"/>
      <c r="WIK1" s="935"/>
      <c r="WIL1" s="935"/>
      <c r="WIM1" s="935"/>
      <c r="WIN1" s="935"/>
      <c r="WIO1" s="935"/>
      <c r="WIP1" s="935"/>
      <c r="WIQ1" s="935"/>
      <c r="WIR1" s="935"/>
      <c r="WIS1" s="935"/>
      <c r="WIT1" s="935"/>
      <c r="WIU1" s="935"/>
      <c r="WIV1" s="935"/>
      <c r="WIW1" s="935"/>
      <c r="WIX1" s="935"/>
      <c r="WIY1" s="935"/>
      <c r="WIZ1" s="935"/>
      <c r="WJA1" s="935"/>
      <c r="WJB1" s="935"/>
      <c r="WJC1" s="935"/>
      <c r="WJD1" s="935"/>
      <c r="WJE1" s="935"/>
      <c r="WJF1" s="935"/>
      <c r="WJG1" s="935"/>
      <c r="WJH1" s="935"/>
      <c r="WJI1" s="935"/>
      <c r="WJJ1" s="935"/>
      <c r="WJK1" s="935"/>
      <c r="WJL1" s="935"/>
      <c r="WJM1" s="935"/>
      <c r="WJN1" s="935"/>
      <c r="WJO1" s="935"/>
      <c r="WJP1" s="935"/>
      <c r="WJQ1" s="935"/>
      <c r="WJR1" s="935"/>
      <c r="WJS1" s="935"/>
      <c r="WJT1" s="935"/>
      <c r="WJU1" s="935"/>
      <c r="WJV1" s="935"/>
      <c r="WJW1" s="935"/>
      <c r="WJX1" s="935"/>
      <c r="WJY1" s="935"/>
      <c r="WJZ1" s="935"/>
      <c r="WKA1" s="935"/>
      <c r="WKB1" s="935"/>
      <c r="WKC1" s="935"/>
      <c r="WKD1" s="935"/>
      <c r="WKE1" s="935"/>
      <c r="WKF1" s="935"/>
      <c r="WKG1" s="935"/>
      <c r="WKH1" s="935"/>
      <c r="WKI1" s="935"/>
      <c r="WKJ1" s="935"/>
      <c r="WKK1" s="935"/>
      <c r="WKL1" s="935"/>
      <c r="WKM1" s="935"/>
      <c r="WKN1" s="935"/>
      <c r="WKO1" s="935"/>
      <c r="WKP1" s="935"/>
      <c r="WKQ1" s="935"/>
      <c r="WKR1" s="935"/>
      <c r="WKS1" s="935"/>
      <c r="WKT1" s="935"/>
      <c r="WKU1" s="935"/>
      <c r="WKV1" s="935"/>
      <c r="WKW1" s="935"/>
      <c r="WKX1" s="935"/>
      <c r="WKY1" s="935"/>
      <c r="WKZ1" s="935"/>
      <c r="WLA1" s="935"/>
      <c r="WLB1" s="935"/>
      <c r="WLC1" s="935"/>
      <c r="WLD1" s="935"/>
      <c r="WLE1" s="935"/>
      <c r="WLF1" s="935"/>
      <c r="WLG1" s="935"/>
      <c r="WLH1" s="935"/>
      <c r="WLI1" s="935"/>
      <c r="WLJ1" s="935"/>
      <c r="WLK1" s="935"/>
      <c r="WLL1" s="935"/>
      <c r="WLM1" s="935"/>
      <c r="WLN1" s="935"/>
      <c r="WLO1" s="935"/>
      <c r="WLP1" s="935"/>
      <c r="WLQ1" s="935"/>
      <c r="WLR1" s="935"/>
      <c r="WLS1" s="935"/>
      <c r="WLT1" s="935"/>
      <c r="WLU1" s="935"/>
      <c r="WLV1" s="935"/>
      <c r="WLW1" s="935"/>
      <c r="WLX1" s="935"/>
      <c r="WLY1" s="935"/>
      <c r="WLZ1" s="935"/>
      <c r="WMA1" s="935"/>
      <c r="WMB1" s="935"/>
      <c r="WMC1" s="935"/>
      <c r="WMD1" s="935"/>
      <c r="WME1" s="935"/>
      <c r="WMF1" s="935"/>
      <c r="WMG1" s="935"/>
      <c r="WMH1" s="935"/>
      <c r="WMI1" s="935"/>
      <c r="WMJ1" s="935"/>
      <c r="WMK1" s="935"/>
      <c r="WML1" s="935"/>
      <c r="WMM1" s="935"/>
      <c r="WMN1" s="935"/>
      <c r="WMO1" s="935"/>
      <c r="WMP1" s="935"/>
      <c r="WMQ1" s="935"/>
      <c r="WMR1" s="935"/>
      <c r="WMS1" s="935"/>
      <c r="WMT1" s="935"/>
      <c r="WMU1" s="935"/>
      <c r="WMV1" s="935"/>
      <c r="WMW1" s="935"/>
      <c r="WMX1" s="935"/>
      <c r="WMY1" s="935"/>
      <c r="WMZ1" s="935"/>
      <c r="WNA1" s="935"/>
      <c r="WNB1" s="935"/>
      <c r="WNC1" s="935"/>
      <c r="WND1" s="935"/>
      <c r="WNE1" s="935"/>
      <c r="WNF1" s="935"/>
      <c r="WNG1" s="935"/>
      <c r="WNH1" s="935"/>
      <c r="WNI1" s="935"/>
      <c r="WNJ1" s="935"/>
      <c r="WNK1" s="935"/>
      <c r="WNL1" s="935"/>
      <c r="WNM1" s="935"/>
      <c r="WNN1" s="935"/>
      <c r="WNO1" s="935"/>
      <c r="WNP1" s="935"/>
      <c r="WNQ1" s="935"/>
      <c r="WNR1" s="935"/>
      <c r="WNS1" s="935"/>
      <c r="WNT1" s="935"/>
      <c r="WNU1" s="935"/>
      <c r="WNV1" s="935"/>
      <c r="WNW1" s="935"/>
      <c r="WNX1" s="935"/>
      <c r="WNY1" s="935"/>
      <c r="WNZ1" s="935"/>
      <c r="WOA1" s="935"/>
      <c r="WOB1" s="935"/>
      <c r="WOC1" s="935"/>
      <c r="WOD1" s="935"/>
      <c r="WOE1" s="935"/>
      <c r="WOF1" s="935"/>
      <c r="WOG1" s="935"/>
      <c r="WOH1" s="935"/>
      <c r="WOI1" s="935"/>
      <c r="WOJ1" s="935"/>
      <c r="WOK1" s="935"/>
      <c r="WOL1" s="935"/>
      <c r="WOM1" s="935"/>
      <c r="WON1" s="935"/>
      <c r="WOO1" s="935"/>
      <c r="WOP1" s="935"/>
      <c r="WOQ1" s="935"/>
      <c r="WOR1" s="935"/>
      <c r="WOS1" s="935"/>
      <c r="WOT1" s="935"/>
      <c r="WOU1" s="935"/>
      <c r="WOV1" s="935"/>
      <c r="WOW1" s="935"/>
      <c r="WOX1" s="935"/>
      <c r="WOY1" s="935"/>
      <c r="WOZ1" s="935"/>
      <c r="WPA1" s="935"/>
      <c r="WPB1" s="935"/>
      <c r="WPC1" s="935"/>
      <c r="WPD1" s="935"/>
      <c r="WPE1" s="935"/>
      <c r="WPF1" s="935"/>
      <c r="WPG1" s="935"/>
      <c r="WPH1" s="935"/>
      <c r="WPI1" s="935"/>
      <c r="WPJ1" s="935"/>
      <c r="WPK1" s="935"/>
      <c r="WPL1" s="935"/>
      <c r="WPM1" s="935"/>
      <c r="WPN1" s="935"/>
      <c r="WPO1" s="935"/>
      <c r="WPP1" s="935"/>
      <c r="WPQ1" s="935"/>
      <c r="WPR1" s="935"/>
      <c r="WPS1" s="935"/>
      <c r="WPT1" s="935"/>
      <c r="WPU1" s="935"/>
      <c r="WPV1" s="935"/>
      <c r="WPW1" s="935"/>
      <c r="WPX1" s="935"/>
      <c r="WPY1" s="935"/>
      <c r="WPZ1" s="935"/>
      <c r="WQA1" s="935"/>
      <c r="WQB1" s="935"/>
      <c r="WQC1" s="935"/>
      <c r="WQD1" s="935"/>
      <c r="WQE1" s="935"/>
      <c r="WQF1" s="935"/>
      <c r="WQG1" s="935"/>
      <c r="WQH1" s="935"/>
      <c r="WQI1" s="935"/>
      <c r="WQJ1" s="935"/>
      <c r="WQK1" s="935"/>
      <c r="WQL1" s="935"/>
      <c r="WQM1" s="935"/>
      <c r="WQN1" s="935"/>
      <c r="WQO1" s="935"/>
      <c r="WQP1" s="935"/>
      <c r="WQQ1" s="935"/>
      <c r="WQR1" s="935"/>
      <c r="WQS1" s="935"/>
      <c r="WQT1" s="935"/>
      <c r="WQU1" s="935"/>
      <c r="WQV1" s="935"/>
      <c r="WQW1" s="935"/>
      <c r="WQX1" s="935"/>
      <c r="WQY1" s="935"/>
      <c r="WQZ1" s="935"/>
      <c r="WRA1" s="935"/>
      <c r="WRB1" s="935"/>
      <c r="WRC1" s="935"/>
      <c r="WRD1" s="935"/>
      <c r="WRE1" s="935"/>
      <c r="WRF1" s="935"/>
      <c r="WRG1" s="935"/>
      <c r="WRH1" s="935"/>
      <c r="WRI1" s="935"/>
      <c r="WRJ1" s="935"/>
      <c r="WRK1" s="935"/>
      <c r="WRL1" s="935"/>
      <c r="WRM1" s="935"/>
      <c r="WRN1" s="935"/>
      <c r="WRO1" s="935"/>
      <c r="WRP1" s="935"/>
      <c r="WRQ1" s="935"/>
      <c r="WRR1" s="935"/>
      <c r="WRS1" s="935"/>
      <c r="WRT1" s="935"/>
      <c r="WRU1" s="935"/>
      <c r="WRV1" s="935"/>
      <c r="WRW1" s="935"/>
      <c r="WRX1" s="935"/>
      <c r="WRY1" s="935"/>
      <c r="WRZ1" s="935"/>
      <c r="WSA1" s="935"/>
      <c r="WSB1" s="935"/>
      <c r="WSC1" s="935"/>
      <c r="WSD1" s="935"/>
      <c r="WSE1" s="935"/>
      <c r="WSF1" s="935"/>
      <c r="WSG1" s="935"/>
      <c r="WSH1" s="935"/>
      <c r="WSI1" s="935"/>
      <c r="WSJ1" s="935"/>
      <c r="WSK1" s="935"/>
      <c r="WSL1" s="935"/>
      <c r="WSM1" s="935"/>
      <c r="WSN1" s="935"/>
      <c r="WSO1" s="935"/>
      <c r="WSP1" s="935"/>
      <c r="WSQ1" s="935"/>
      <c r="WSR1" s="935"/>
      <c r="WSS1" s="935"/>
      <c r="WST1" s="935"/>
      <c r="WSU1" s="935"/>
      <c r="WSV1" s="935"/>
      <c r="WSW1" s="935"/>
      <c r="WSX1" s="935"/>
      <c r="WSY1" s="935"/>
      <c r="WSZ1" s="935"/>
      <c r="WTA1" s="935"/>
      <c r="WTB1" s="935"/>
      <c r="WTC1" s="935"/>
      <c r="WTD1" s="935"/>
      <c r="WTE1" s="935"/>
      <c r="WTF1" s="935"/>
      <c r="WTG1" s="935"/>
      <c r="WTH1" s="935"/>
      <c r="WTI1" s="935"/>
      <c r="WTJ1" s="935"/>
      <c r="WTK1" s="935"/>
      <c r="WTL1" s="935"/>
      <c r="WTM1" s="935"/>
      <c r="WTN1" s="935"/>
      <c r="WTO1" s="935"/>
      <c r="WTP1" s="935"/>
      <c r="WTQ1" s="935"/>
      <c r="WTR1" s="935"/>
      <c r="WTS1" s="935"/>
      <c r="WTT1" s="935"/>
      <c r="WTU1" s="935"/>
      <c r="WTV1" s="935"/>
      <c r="WTW1" s="935"/>
      <c r="WTX1" s="935"/>
      <c r="WTY1" s="935"/>
      <c r="WTZ1" s="935"/>
      <c r="WUA1" s="935"/>
      <c r="WUB1" s="935"/>
      <c r="WUC1" s="935"/>
      <c r="WUD1" s="935"/>
      <c r="WUE1" s="935"/>
      <c r="WUF1" s="935"/>
      <c r="WUG1" s="935"/>
      <c r="WUH1" s="935"/>
      <c r="WUI1" s="935"/>
      <c r="WUJ1" s="935"/>
      <c r="WUK1" s="935"/>
      <c r="WUL1" s="935"/>
      <c r="WUM1" s="935"/>
      <c r="WUN1" s="935"/>
      <c r="WUO1" s="935"/>
      <c r="WUP1" s="935"/>
      <c r="WUQ1" s="935"/>
      <c r="WUR1" s="935"/>
      <c r="WUS1" s="935"/>
      <c r="WUT1" s="935"/>
      <c r="WUU1" s="935"/>
      <c r="WUV1" s="935"/>
      <c r="WUW1" s="935"/>
      <c r="WUX1" s="935"/>
      <c r="WUY1" s="935"/>
      <c r="WUZ1" s="935"/>
      <c r="WVA1" s="935"/>
      <c r="WVB1" s="935"/>
      <c r="WVC1" s="935"/>
      <c r="WVD1" s="935"/>
      <c r="WVE1" s="935"/>
      <c r="WVF1" s="935"/>
      <c r="WVG1" s="935"/>
      <c r="WVH1" s="935"/>
      <c r="WVI1" s="935"/>
      <c r="WVJ1" s="935"/>
      <c r="WVK1" s="935"/>
      <c r="WVL1" s="935"/>
      <c r="WVM1" s="935"/>
      <c r="WVN1" s="935"/>
      <c r="WVO1" s="935"/>
      <c r="WVP1" s="935"/>
      <c r="WVQ1" s="935"/>
      <c r="WVR1" s="935"/>
      <c r="WVS1" s="935"/>
      <c r="WVT1" s="935"/>
      <c r="WVU1" s="935"/>
      <c r="WVV1" s="935"/>
      <c r="WVW1" s="935"/>
      <c r="WVX1" s="935"/>
      <c r="WVY1" s="935"/>
      <c r="WVZ1" s="935"/>
      <c r="WWA1" s="935"/>
      <c r="WWB1" s="935"/>
      <c r="WWC1" s="935"/>
      <c r="WWD1" s="935"/>
      <c r="WWE1" s="935"/>
      <c r="WWF1" s="935"/>
      <c r="WWG1" s="935"/>
      <c r="WWH1" s="935"/>
      <c r="WWI1" s="935"/>
      <c r="WWJ1" s="935"/>
      <c r="WWK1" s="935"/>
      <c r="WWL1" s="935"/>
      <c r="WWM1" s="935"/>
      <c r="WWN1" s="935"/>
      <c r="WWO1" s="935"/>
      <c r="WWP1" s="935"/>
      <c r="WWQ1" s="935"/>
      <c r="WWR1" s="935"/>
      <c r="WWS1" s="935"/>
      <c r="WWT1" s="935"/>
      <c r="WWU1" s="935"/>
      <c r="WWV1" s="935"/>
      <c r="WWW1" s="935"/>
      <c r="WWX1" s="935"/>
      <c r="WWY1" s="935"/>
      <c r="WWZ1" s="935"/>
      <c r="WXA1" s="935"/>
      <c r="WXB1" s="935"/>
      <c r="WXC1" s="935"/>
      <c r="WXD1" s="935"/>
      <c r="WXE1" s="935"/>
      <c r="WXF1" s="935"/>
      <c r="WXG1" s="935"/>
      <c r="WXH1" s="935"/>
      <c r="WXI1" s="935"/>
      <c r="WXJ1" s="935"/>
      <c r="WXK1" s="935"/>
      <c r="WXL1" s="935"/>
      <c r="WXM1" s="935"/>
      <c r="WXN1" s="935"/>
      <c r="WXO1" s="935"/>
      <c r="WXP1" s="935"/>
      <c r="WXQ1" s="935"/>
      <c r="WXR1" s="935"/>
      <c r="WXS1" s="935"/>
      <c r="WXT1" s="935"/>
      <c r="WXU1" s="935"/>
      <c r="WXV1" s="935"/>
      <c r="WXW1" s="935"/>
      <c r="WXX1" s="935"/>
      <c r="WXY1" s="935"/>
      <c r="WXZ1" s="935"/>
      <c r="WYA1" s="935"/>
      <c r="WYB1" s="935"/>
      <c r="WYC1" s="935"/>
      <c r="WYD1" s="935"/>
      <c r="WYE1" s="935"/>
      <c r="WYF1" s="935"/>
      <c r="WYG1" s="935"/>
      <c r="WYH1" s="935"/>
      <c r="WYI1" s="935"/>
      <c r="WYJ1" s="935"/>
      <c r="WYK1" s="935"/>
      <c r="WYL1" s="935"/>
      <c r="WYM1" s="935"/>
      <c r="WYN1" s="935"/>
      <c r="WYO1" s="935"/>
      <c r="WYP1" s="935"/>
      <c r="WYQ1" s="935"/>
      <c r="WYR1" s="935"/>
      <c r="WYS1" s="935"/>
      <c r="WYT1" s="935"/>
      <c r="WYU1" s="935"/>
      <c r="WYV1" s="935"/>
      <c r="WYW1" s="935"/>
      <c r="WYX1" s="935"/>
      <c r="WYY1" s="935"/>
      <c r="WYZ1" s="935"/>
      <c r="WZA1" s="935"/>
      <c r="WZB1" s="935"/>
      <c r="WZC1" s="935"/>
      <c r="WZD1" s="935"/>
      <c r="WZE1" s="935"/>
      <c r="WZF1" s="935"/>
      <c r="WZG1" s="935"/>
      <c r="WZH1" s="935"/>
      <c r="WZI1" s="935"/>
      <c r="WZJ1" s="935"/>
      <c r="WZK1" s="935"/>
      <c r="WZL1" s="935"/>
      <c r="WZM1" s="935"/>
      <c r="WZN1" s="935"/>
      <c r="WZO1" s="935"/>
      <c r="WZP1" s="935"/>
      <c r="WZQ1" s="935"/>
      <c r="WZR1" s="935"/>
      <c r="WZS1" s="935"/>
      <c r="WZT1" s="935"/>
      <c r="WZU1" s="935"/>
      <c r="WZV1" s="935"/>
      <c r="WZW1" s="935"/>
      <c r="WZX1" s="935"/>
      <c r="WZY1" s="935"/>
      <c r="WZZ1" s="935"/>
      <c r="XAA1" s="935"/>
      <c r="XAB1" s="935"/>
      <c r="XAC1" s="935"/>
      <c r="XAD1" s="935"/>
      <c r="XAE1" s="935"/>
      <c r="XAF1" s="935"/>
      <c r="XAG1" s="935"/>
      <c r="XAH1" s="935"/>
      <c r="XAI1" s="935"/>
      <c r="XAJ1" s="935"/>
      <c r="XAK1" s="935"/>
      <c r="XAL1" s="935"/>
      <c r="XAM1" s="935"/>
      <c r="XAN1" s="935"/>
      <c r="XAO1" s="935"/>
      <c r="XAP1" s="935"/>
      <c r="XAQ1" s="935"/>
      <c r="XAR1" s="935"/>
      <c r="XAS1" s="935"/>
      <c r="XAT1" s="935"/>
      <c r="XAU1" s="935"/>
      <c r="XAV1" s="935"/>
      <c r="XAW1" s="935"/>
      <c r="XAX1" s="935"/>
      <c r="XAY1" s="935"/>
      <c r="XAZ1" s="935"/>
      <c r="XBA1" s="935"/>
      <c r="XBB1" s="935"/>
      <c r="XBC1" s="935"/>
      <c r="XBD1" s="935"/>
      <c r="XBE1" s="935"/>
      <c r="XBF1" s="935"/>
      <c r="XBG1" s="935"/>
      <c r="XBH1" s="935"/>
      <c r="XBI1" s="935"/>
      <c r="XBJ1" s="935"/>
      <c r="XBK1" s="935"/>
      <c r="XBL1" s="935"/>
      <c r="XBM1" s="935"/>
      <c r="XBN1" s="935"/>
      <c r="XBO1" s="935"/>
      <c r="XBP1" s="935"/>
      <c r="XBQ1" s="935"/>
      <c r="XBR1" s="935"/>
      <c r="XBS1" s="935"/>
      <c r="XBT1" s="935"/>
      <c r="XBU1" s="935"/>
      <c r="XBV1" s="935"/>
      <c r="XBW1" s="935"/>
      <c r="XBX1" s="935"/>
      <c r="XBY1" s="935"/>
      <c r="XBZ1" s="935"/>
      <c r="XCA1" s="935"/>
      <c r="XCB1" s="935"/>
      <c r="XCC1" s="935"/>
      <c r="XCD1" s="935"/>
      <c r="XCE1" s="935"/>
      <c r="XCF1" s="935"/>
      <c r="XCG1" s="935"/>
      <c r="XCH1" s="935"/>
      <c r="XCI1" s="935"/>
      <c r="XCJ1" s="935"/>
      <c r="XCK1" s="935"/>
      <c r="XCL1" s="935"/>
      <c r="XCM1" s="935"/>
      <c r="XCN1" s="935"/>
      <c r="XCO1" s="935"/>
      <c r="XCP1" s="935"/>
      <c r="XCQ1" s="935"/>
      <c r="XCR1" s="935"/>
      <c r="XCS1" s="935"/>
      <c r="XCT1" s="935"/>
      <c r="XCU1" s="935"/>
      <c r="XCV1" s="935"/>
      <c r="XCW1" s="935"/>
      <c r="XCX1" s="935"/>
      <c r="XCY1" s="935"/>
      <c r="XCZ1" s="935"/>
      <c r="XDA1" s="935"/>
      <c r="XDB1" s="935"/>
      <c r="XDC1" s="935"/>
      <c r="XDD1" s="935"/>
      <c r="XDE1" s="935"/>
      <c r="XDF1" s="935"/>
      <c r="XDG1" s="935"/>
      <c r="XDH1" s="935"/>
      <c r="XDI1" s="935"/>
      <c r="XDJ1" s="935"/>
      <c r="XDK1" s="935"/>
      <c r="XDL1" s="935"/>
      <c r="XDM1" s="935"/>
      <c r="XDN1" s="935"/>
      <c r="XDO1" s="935"/>
      <c r="XDP1" s="935"/>
      <c r="XDQ1" s="935"/>
      <c r="XDR1" s="935"/>
      <c r="XDS1" s="935"/>
      <c r="XDT1" s="935"/>
      <c r="XDU1" s="935"/>
      <c r="XDV1" s="935"/>
      <c r="XDW1" s="935"/>
      <c r="XDX1" s="935"/>
      <c r="XDY1" s="935"/>
      <c r="XDZ1" s="935"/>
      <c r="XEA1" s="935"/>
      <c r="XEB1" s="935"/>
      <c r="XEC1" s="935"/>
      <c r="XED1" s="935"/>
      <c r="XEE1" s="935"/>
      <c r="XEF1" s="935"/>
      <c r="XEG1" s="935"/>
      <c r="XEH1" s="935"/>
      <c r="XEI1" s="935"/>
      <c r="XEJ1" s="935"/>
      <c r="XEK1" s="935"/>
      <c r="XEL1" s="935"/>
      <c r="XEM1" s="935"/>
      <c r="XEN1" s="935"/>
      <c r="XEO1" s="935"/>
      <c r="XEP1" s="935"/>
      <c r="XEQ1" s="935"/>
      <c r="XER1" s="935"/>
      <c r="XES1" s="935"/>
      <c r="XET1" s="935"/>
      <c r="XEU1" s="935"/>
      <c r="XEV1" s="935"/>
      <c r="XEW1" s="935"/>
      <c r="XEX1" s="935"/>
      <c r="XEY1" s="935"/>
      <c r="XEZ1" s="935"/>
      <c r="XFA1" s="935"/>
      <c r="XFB1" s="935"/>
      <c r="XFC1" s="935"/>
      <c r="XFD1" s="935"/>
    </row>
    <row r="2" spans="1:16384" s="46" customFormat="1" x14ac:dyDescent="0.3">
      <c r="A2" s="17" t="s">
        <v>250</v>
      </c>
    </row>
    <row r="4" spans="1:16384" s="93" customFormat="1" ht="23" x14ac:dyDescent="0.25">
      <c r="A4" s="334" t="s">
        <v>146</v>
      </c>
      <c r="B4" s="334" t="s">
        <v>1205</v>
      </c>
      <c r="C4" s="334" t="s">
        <v>251</v>
      </c>
      <c r="D4" s="334" t="s">
        <v>1206</v>
      </c>
    </row>
    <row r="5" spans="1:16384" s="30" customFormat="1" ht="23" x14ac:dyDescent="0.25">
      <c r="A5" s="354" t="s">
        <v>461</v>
      </c>
      <c r="B5" s="497" t="s">
        <v>148</v>
      </c>
      <c r="C5" s="497" t="s">
        <v>252</v>
      </c>
      <c r="D5" s="497" t="s">
        <v>571</v>
      </c>
    </row>
    <row r="6" spans="1:16384" s="30" customFormat="1" ht="23" x14ac:dyDescent="0.25">
      <c r="A6" s="354" t="s">
        <v>464</v>
      </c>
      <c r="B6" s="497" t="s">
        <v>148</v>
      </c>
      <c r="C6" s="497" t="s">
        <v>252</v>
      </c>
      <c r="D6" s="497" t="s">
        <v>571</v>
      </c>
    </row>
    <row r="7" spans="1:16384" s="30" customFormat="1" ht="23" x14ac:dyDescent="0.25">
      <c r="A7" s="347" t="s">
        <v>472</v>
      </c>
      <c r="B7" s="536" t="s">
        <v>148</v>
      </c>
      <c r="C7" s="536" t="s">
        <v>252</v>
      </c>
      <c r="D7" s="363" t="s">
        <v>1201</v>
      </c>
    </row>
  </sheetData>
  <mergeCells count="4096">
    <mergeCell ref="XFA1:XFD1"/>
    <mergeCell ref="XEG1:XEJ1"/>
    <mergeCell ref="XEK1:XEN1"/>
    <mergeCell ref="XEO1:XER1"/>
    <mergeCell ref="XES1:XEV1"/>
    <mergeCell ref="XEW1:XEZ1"/>
    <mergeCell ref="XDM1:XDP1"/>
    <mergeCell ref="XDQ1:XDT1"/>
    <mergeCell ref="XDU1:XDX1"/>
    <mergeCell ref="XDY1:XEB1"/>
    <mergeCell ref="XEC1:XEF1"/>
    <mergeCell ref="XCS1:XCV1"/>
    <mergeCell ref="XCW1:XCZ1"/>
    <mergeCell ref="XDA1:XDD1"/>
    <mergeCell ref="XDE1:XDH1"/>
    <mergeCell ref="XDI1:XDL1"/>
    <mergeCell ref="XBY1:XCB1"/>
    <mergeCell ref="XCC1:XCF1"/>
    <mergeCell ref="XCG1:XCJ1"/>
    <mergeCell ref="XCK1:XCN1"/>
    <mergeCell ref="XCO1:XCR1"/>
    <mergeCell ref="XBE1:XBH1"/>
    <mergeCell ref="XBI1:XBL1"/>
    <mergeCell ref="XBM1:XBP1"/>
    <mergeCell ref="XBQ1:XBT1"/>
    <mergeCell ref="XBU1:XBX1"/>
    <mergeCell ref="XAK1:XAN1"/>
    <mergeCell ref="XAO1:XAR1"/>
    <mergeCell ref="XAS1:XAV1"/>
    <mergeCell ref="XAW1:XAZ1"/>
    <mergeCell ref="XBA1:XBD1"/>
    <mergeCell ref="WZQ1:WZT1"/>
    <mergeCell ref="WZU1:WZX1"/>
    <mergeCell ref="WZY1:XAB1"/>
    <mergeCell ref="XAC1:XAF1"/>
    <mergeCell ref="XAG1:XAJ1"/>
    <mergeCell ref="WYW1:WYZ1"/>
    <mergeCell ref="WZA1:WZD1"/>
    <mergeCell ref="WZE1:WZH1"/>
    <mergeCell ref="WZI1:WZL1"/>
    <mergeCell ref="WZM1:WZP1"/>
    <mergeCell ref="WYC1:WYF1"/>
    <mergeCell ref="WYG1:WYJ1"/>
    <mergeCell ref="WYK1:WYN1"/>
    <mergeCell ref="WYO1:WYR1"/>
    <mergeCell ref="WYS1:WYV1"/>
    <mergeCell ref="WXI1:WXL1"/>
    <mergeCell ref="WXM1:WXP1"/>
    <mergeCell ref="WXQ1:WXT1"/>
    <mergeCell ref="WXU1:WXX1"/>
    <mergeCell ref="WXY1:WYB1"/>
    <mergeCell ref="WWO1:WWR1"/>
    <mergeCell ref="WWS1:WWV1"/>
    <mergeCell ref="WWW1:WWZ1"/>
    <mergeCell ref="WXA1:WXD1"/>
    <mergeCell ref="WXE1:WXH1"/>
    <mergeCell ref="WVU1:WVX1"/>
    <mergeCell ref="WVY1:WWB1"/>
    <mergeCell ref="WWC1:WWF1"/>
    <mergeCell ref="WWG1:WWJ1"/>
    <mergeCell ref="WWK1:WWN1"/>
    <mergeCell ref="WVA1:WVD1"/>
    <mergeCell ref="WVE1:WVH1"/>
    <mergeCell ref="WVI1:WVL1"/>
    <mergeCell ref="WVM1:WVP1"/>
    <mergeCell ref="WVQ1:WVT1"/>
    <mergeCell ref="WUG1:WUJ1"/>
    <mergeCell ref="WUK1:WUN1"/>
    <mergeCell ref="WUO1:WUR1"/>
    <mergeCell ref="WUS1:WUV1"/>
    <mergeCell ref="WUW1:WUZ1"/>
    <mergeCell ref="WTM1:WTP1"/>
    <mergeCell ref="WTQ1:WTT1"/>
    <mergeCell ref="WTU1:WTX1"/>
    <mergeCell ref="WTY1:WUB1"/>
    <mergeCell ref="WUC1:WUF1"/>
    <mergeCell ref="WSS1:WSV1"/>
    <mergeCell ref="WSW1:WSZ1"/>
    <mergeCell ref="WTA1:WTD1"/>
    <mergeCell ref="WTE1:WTH1"/>
    <mergeCell ref="WTI1:WTL1"/>
    <mergeCell ref="WRY1:WSB1"/>
    <mergeCell ref="WSC1:WSF1"/>
    <mergeCell ref="WSG1:WSJ1"/>
    <mergeCell ref="WSK1:WSN1"/>
    <mergeCell ref="WSO1:WSR1"/>
    <mergeCell ref="WRE1:WRH1"/>
    <mergeCell ref="WRI1:WRL1"/>
    <mergeCell ref="WRM1:WRP1"/>
    <mergeCell ref="WRQ1:WRT1"/>
    <mergeCell ref="WRU1:WRX1"/>
    <mergeCell ref="WQK1:WQN1"/>
    <mergeCell ref="WQO1:WQR1"/>
    <mergeCell ref="WQS1:WQV1"/>
    <mergeCell ref="WQW1:WQZ1"/>
    <mergeCell ref="WRA1:WRD1"/>
    <mergeCell ref="WPQ1:WPT1"/>
    <mergeCell ref="WPU1:WPX1"/>
    <mergeCell ref="WPY1:WQB1"/>
    <mergeCell ref="WQC1:WQF1"/>
    <mergeCell ref="WQG1:WQJ1"/>
    <mergeCell ref="WOW1:WOZ1"/>
    <mergeCell ref="WPA1:WPD1"/>
    <mergeCell ref="WPE1:WPH1"/>
    <mergeCell ref="WPI1:WPL1"/>
    <mergeCell ref="WPM1:WPP1"/>
    <mergeCell ref="WOC1:WOF1"/>
    <mergeCell ref="WOG1:WOJ1"/>
    <mergeCell ref="WOK1:WON1"/>
    <mergeCell ref="WOO1:WOR1"/>
    <mergeCell ref="WOS1:WOV1"/>
    <mergeCell ref="WNI1:WNL1"/>
    <mergeCell ref="WNM1:WNP1"/>
    <mergeCell ref="WNQ1:WNT1"/>
    <mergeCell ref="WNU1:WNX1"/>
    <mergeCell ref="WNY1:WOB1"/>
    <mergeCell ref="WMO1:WMR1"/>
    <mergeCell ref="WMS1:WMV1"/>
    <mergeCell ref="WMW1:WMZ1"/>
    <mergeCell ref="WNA1:WND1"/>
    <mergeCell ref="WNE1:WNH1"/>
    <mergeCell ref="WLU1:WLX1"/>
    <mergeCell ref="WLY1:WMB1"/>
    <mergeCell ref="WMC1:WMF1"/>
    <mergeCell ref="WMG1:WMJ1"/>
    <mergeCell ref="WMK1:WMN1"/>
    <mergeCell ref="WLA1:WLD1"/>
    <mergeCell ref="WLE1:WLH1"/>
    <mergeCell ref="WLI1:WLL1"/>
    <mergeCell ref="WLM1:WLP1"/>
    <mergeCell ref="WLQ1:WLT1"/>
    <mergeCell ref="WKG1:WKJ1"/>
    <mergeCell ref="WKK1:WKN1"/>
    <mergeCell ref="WKO1:WKR1"/>
    <mergeCell ref="WKS1:WKV1"/>
    <mergeCell ref="WKW1:WKZ1"/>
    <mergeCell ref="WJM1:WJP1"/>
    <mergeCell ref="WJQ1:WJT1"/>
    <mergeCell ref="WJU1:WJX1"/>
    <mergeCell ref="WJY1:WKB1"/>
    <mergeCell ref="WKC1:WKF1"/>
    <mergeCell ref="WIS1:WIV1"/>
    <mergeCell ref="WIW1:WIZ1"/>
    <mergeCell ref="WJA1:WJD1"/>
    <mergeCell ref="WJE1:WJH1"/>
    <mergeCell ref="WJI1:WJL1"/>
    <mergeCell ref="WHY1:WIB1"/>
    <mergeCell ref="WIC1:WIF1"/>
    <mergeCell ref="WIG1:WIJ1"/>
    <mergeCell ref="WIK1:WIN1"/>
    <mergeCell ref="WIO1:WIR1"/>
    <mergeCell ref="WHE1:WHH1"/>
    <mergeCell ref="WHI1:WHL1"/>
    <mergeCell ref="WHM1:WHP1"/>
    <mergeCell ref="WHQ1:WHT1"/>
    <mergeCell ref="WHU1:WHX1"/>
    <mergeCell ref="WGK1:WGN1"/>
    <mergeCell ref="WGO1:WGR1"/>
    <mergeCell ref="WGS1:WGV1"/>
    <mergeCell ref="WGW1:WGZ1"/>
    <mergeCell ref="WHA1:WHD1"/>
    <mergeCell ref="WFQ1:WFT1"/>
    <mergeCell ref="WFU1:WFX1"/>
    <mergeCell ref="WFY1:WGB1"/>
    <mergeCell ref="WGC1:WGF1"/>
    <mergeCell ref="WGG1:WGJ1"/>
    <mergeCell ref="WEW1:WEZ1"/>
    <mergeCell ref="WFA1:WFD1"/>
    <mergeCell ref="WFE1:WFH1"/>
    <mergeCell ref="WFI1:WFL1"/>
    <mergeCell ref="WFM1:WFP1"/>
    <mergeCell ref="WEC1:WEF1"/>
    <mergeCell ref="WEG1:WEJ1"/>
    <mergeCell ref="WEK1:WEN1"/>
    <mergeCell ref="WEO1:WER1"/>
    <mergeCell ref="WES1:WEV1"/>
    <mergeCell ref="WDI1:WDL1"/>
    <mergeCell ref="WDM1:WDP1"/>
    <mergeCell ref="WDQ1:WDT1"/>
    <mergeCell ref="WDU1:WDX1"/>
    <mergeCell ref="WDY1:WEB1"/>
    <mergeCell ref="WCO1:WCR1"/>
    <mergeCell ref="WCS1:WCV1"/>
    <mergeCell ref="WCW1:WCZ1"/>
    <mergeCell ref="WDA1:WDD1"/>
    <mergeCell ref="WDE1:WDH1"/>
    <mergeCell ref="WBU1:WBX1"/>
    <mergeCell ref="WBY1:WCB1"/>
    <mergeCell ref="WCC1:WCF1"/>
    <mergeCell ref="WCG1:WCJ1"/>
    <mergeCell ref="WCK1:WCN1"/>
    <mergeCell ref="WBA1:WBD1"/>
    <mergeCell ref="WBE1:WBH1"/>
    <mergeCell ref="WBI1:WBL1"/>
    <mergeCell ref="WBM1:WBP1"/>
    <mergeCell ref="WBQ1:WBT1"/>
    <mergeCell ref="WAG1:WAJ1"/>
    <mergeCell ref="WAK1:WAN1"/>
    <mergeCell ref="WAO1:WAR1"/>
    <mergeCell ref="WAS1:WAV1"/>
    <mergeCell ref="WAW1:WAZ1"/>
    <mergeCell ref="VZM1:VZP1"/>
    <mergeCell ref="VZQ1:VZT1"/>
    <mergeCell ref="VZU1:VZX1"/>
    <mergeCell ref="VZY1:WAB1"/>
    <mergeCell ref="WAC1:WAF1"/>
    <mergeCell ref="VYS1:VYV1"/>
    <mergeCell ref="VYW1:VYZ1"/>
    <mergeCell ref="VZA1:VZD1"/>
    <mergeCell ref="VZE1:VZH1"/>
    <mergeCell ref="VZI1:VZL1"/>
    <mergeCell ref="VXY1:VYB1"/>
    <mergeCell ref="VYC1:VYF1"/>
    <mergeCell ref="VYG1:VYJ1"/>
    <mergeCell ref="VYK1:VYN1"/>
    <mergeCell ref="VYO1:VYR1"/>
    <mergeCell ref="VXE1:VXH1"/>
    <mergeCell ref="VXI1:VXL1"/>
    <mergeCell ref="VXM1:VXP1"/>
    <mergeCell ref="VXQ1:VXT1"/>
    <mergeCell ref="VXU1:VXX1"/>
    <mergeCell ref="VWK1:VWN1"/>
    <mergeCell ref="VWO1:VWR1"/>
    <mergeCell ref="VWS1:VWV1"/>
    <mergeCell ref="VWW1:VWZ1"/>
    <mergeCell ref="VXA1:VXD1"/>
    <mergeCell ref="VVQ1:VVT1"/>
    <mergeCell ref="VVU1:VVX1"/>
    <mergeCell ref="VVY1:VWB1"/>
    <mergeCell ref="VWC1:VWF1"/>
    <mergeCell ref="VWG1:VWJ1"/>
    <mergeCell ref="VUW1:VUZ1"/>
    <mergeCell ref="VVA1:VVD1"/>
    <mergeCell ref="VVE1:VVH1"/>
    <mergeCell ref="VVI1:VVL1"/>
    <mergeCell ref="VVM1:VVP1"/>
    <mergeCell ref="VUC1:VUF1"/>
    <mergeCell ref="VUG1:VUJ1"/>
    <mergeCell ref="VUK1:VUN1"/>
    <mergeCell ref="VUO1:VUR1"/>
    <mergeCell ref="VUS1:VUV1"/>
    <mergeCell ref="VTI1:VTL1"/>
    <mergeCell ref="VTM1:VTP1"/>
    <mergeCell ref="VTQ1:VTT1"/>
    <mergeCell ref="VTU1:VTX1"/>
    <mergeCell ref="VTY1:VUB1"/>
    <mergeCell ref="VSO1:VSR1"/>
    <mergeCell ref="VSS1:VSV1"/>
    <mergeCell ref="VSW1:VSZ1"/>
    <mergeCell ref="VTA1:VTD1"/>
    <mergeCell ref="VTE1:VTH1"/>
    <mergeCell ref="VRU1:VRX1"/>
    <mergeCell ref="VRY1:VSB1"/>
    <mergeCell ref="VSC1:VSF1"/>
    <mergeCell ref="VSG1:VSJ1"/>
    <mergeCell ref="VSK1:VSN1"/>
    <mergeCell ref="VRA1:VRD1"/>
    <mergeCell ref="VRE1:VRH1"/>
    <mergeCell ref="VRI1:VRL1"/>
    <mergeCell ref="VRM1:VRP1"/>
    <mergeCell ref="VRQ1:VRT1"/>
    <mergeCell ref="VQG1:VQJ1"/>
    <mergeCell ref="VQK1:VQN1"/>
    <mergeCell ref="VQO1:VQR1"/>
    <mergeCell ref="VQS1:VQV1"/>
    <mergeCell ref="VQW1:VQZ1"/>
    <mergeCell ref="VPM1:VPP1"/>
    <mergeCell ref="VPQ1:VPT1"/>
    <mergeCell ref="VPU1:VPX1"/>
    <mergeCell ref="VPY1:VQB1"/>
    <mergeCell ref="VQC1:VQF1"/>
    <mergeCell ref="VOS1:VOV1"/>
    <mergeCell ref="VOW1:VOZ1"/>
    <mergeCell ref="VPA1:VPD1"/>
    <mergeCell ref="VPE1:VPH1"/>
    <mergeCell ref="VPI1:VPL1"/>
    <mergeCell ref="VNY1:VOB1"/>
    <mergeCell ref="VOC1:VOF1"/>
    <mergeCell ref="VOG1:VOJ1"/>
    <mergeCell ref="VOK1:VON1"/>
    <mergeCell ref="VOO1:VOR1"/>
    <mergeCell ref="VNE1:VNH1"/>
    <mergeCell ref="VNI1:VNL1"/>
    <mergeCell ref="VNM1:VNP1"/>
    <mergeCell ref="VNQ1:VNT1"/>
    <mergeCell ref="VNU1:VNX1"/>
    <mergeCell ref="VMK1:VMN1"/>
    <mergeCell ref="VMO1:VMR1"/>
    <mergeCell ref="VMS1:VMV1"/>
    <mergeCell ref="VMW1:VMZ1"/>
    <mergeCell ref="VNA1:VND1"/>
    <mergeCell ref="VLQ1:VLT1"/>
    <mergeCell ref="VLU1:VLX1"/>
    <mergeCell ref="VLY1:VMB1"/>
    <mergeCell ref="VMC1:VMF1"/>
    <mergeCell ref="VMG1:VMJ1"/>
    <mergeCell ref="VKW1:VKZ1"/>
    <mergeCell ref="VLA1:VLD1"/>
    <mergeCell ref="VLE1:VLH1"/>
    <mergeCell ref="VLI1:VLL1"/>
    <mergeCell ref="VLM1:VLP1"/>
    <mergeCell ref="VKC1:VKF1"/>
    <mergeCell ref="VKG1:VKJ1"/>
    <mergeCell ref="VKK1:VKN1"/>
    <mergeCell ref="VKO1:VKR1"/>
    <mergeCell ref="VKS1:VKV1"/>
    <mergeCell ref="VJI1:VJL1"/>
    <mergeCell ref="VJM1:VJP1"/>
    <mergeCell ref="VJQ1:VJT1"/>
    <mergeCell ref="VJU1:VJX1"/>
    <mergeCell ref="VJY1:VKB1"/>
    <mergeCell ref="VIO1:VIR1"/>
    <mergeCell ref="VIS1:VIV1"/>
    <mergeCell ref="VIW1:VIZ1"/>
    <mergeCell ref="VJA1:VJD1"/>
    <mergeCell ref="VJE1:VJH1"/>
    <mergeCell ref="VHU1:VHX1"/>
    <mergeCell ref="VHY1:VIB1"/>
    <mergeCell ref="VIC1:VIF1"/>
    <mergeCell ref="VIG1:VIJ1"/>
    <mergeCell ref="VIK1:VIN1"/>
    <mergeCell ref="VHA1:VHD1"/>
    <mergeCell ref="VHE1:VHH1"/>
    <mergeCell ref="VHI1:VHL1"/>
    <mergeCell ref="VHM1:VHP1"/>
    <mergeCell ref="VHQ1:VHT1"/>
    <mergeCell ref="VGG1:VGJ1"/>
    <mergeCell ref="VGK1:VGN1"/>
    <mergeCell ref="VGO1:VGR1"/>
    <mergeCell ref="VGS1:VGV1"/>
    <mergeCell ref="VGW1:VGZ1"/>
    <mergeCell ref="VFM1:VFP1"/>
    <mergeCell ref="VFQ1:VFT1"/>
    <mergeCell ref="VFU1:VFX1"/>
    <mergeCell ref="VFY1:VGB1"/>
    <mergeCell ref="VGC1:VGF1"/>
    <mergeCell ref="VES1:VEV1"/>
    <mergeCell ref="VEW1:VEZ1"/>
    <mergeCell ref="VFA1:VFD1"/>
    <mergeCell ref="VFE1:VFH1"/>
    <mergeCell ref="VFI1:VFL1"/>
    <mergeCell ref="VDY1:VEB1"/>
    <mergeCell ref="VEC1:VEF1"/>
    <mergeCell ref="VEG1:VEJ1"/>
    <mergeCell ref="VEK1:VEN1"/>
    <mergeCell ref="VEO1:VER1"/>
    <mergeCell ref="VDE1:VDH1"/>
    <mergeCell ref="VDI1:VDL1"/>
    <mergeCell ref="VDM1:VDP1"/>
    <mergeCell ref="VDQ1:VDT1"/>
    <mergeCell ref="VDU1:VDX1"/>
    <mergeCell ref="VCK1:VCN1"/>
    <mergeCell ref="VCO1:VCR1"/>
    <mergeCell ref="VCS1:VCV1"/>
    <mergeCell ref="VCW1:VCZ1"/>
    <mergeCell ref="VDA1:VDD1"/>
    <mergeCell ref="VBQ1:VBT1"/>
    <mergeCell ref="VBU1:VBX1"/>
    <mergeCell ref="VBY1:VCB1"/>
    <mergeCell ref="VCC1:VCF1"/>
    <mergeCell ref="VCG1:VCJ1"/>
    <mergeCell ref="VAW1:VAZ1"/>
    <mergeCell ref="VBA1:VBD1"/>
    <mergeCell ref="VBE1:VBH1"/>
    <mergeCell ref="VBI1:VBL1"/>
    <mergeCell ref="VBM1:VBP1"/>
    <mergeCell ref="VAC1:VAF1"/>
    <mergeCell ref="VAG1:VAJ1"/>
    <mergeCell ref="VAK1:VAN1"/>
    <mergeCell ref="VAO1:VAR1"/>
    <mergeCell ref="VAS1:VAV1"/>
    <mergeCell ref="UZI1:UZL1"/>
    <mergeCell ref="UZM1:UZP1"/>
    <mergeCell ref="UZQ1:UZT1"/>
    <mergeCell ref="UZU1:UZX1"/>
    <mergeCell ref="UZY1:VAB1"/>
    <mergeCell ref="UYO1:UYR1"/>
    <mergeCell ref="UYS1:UYV1"/>
    <mergeCell ref="UYW1:UYZ1"/>
    <mergeCell ref="UZA1:UZD1"/>
    <mergeCell ref="UZE1:UZH1"/>
    <mergeCell ref="UXU1:UXX1"/>
    <mergeCell ref="UXY1:UYB1"/>
    <mergeCell ref="UYC1:UYF1"/>
    <mergeCell ref="UYG1:UYJ1"/>
    <mergeCell ref="UYK1:UYN1"/>
    <mergeCell ref="UXA1:UXD1"/>
    <mergeCell ref="UXE1:UXH1"/>
    <mergeCell ref="UXI1:UXL1"/>
    <mergeCell ref="UXM1:UXP1"/>
    <mergeCell ref="UXQ1:UXT1"/>
    <mergeCell ref="UWG1:UWJ1"/>
    <mergeCell ref="UWK1:UWN1"/>
    <mergeCell ref="UWO1:UWR1"/>
    <mergeCell ref="UWS1:UWV1"/>
    <mergeCell ref="UWW1:UWZ1"/>
    <mergeCell ref="UVM1:UVP1"/>
    <mergeCell ref="UVQ1:UVT1"/>
    <mergeCell ref="UVU1:UVX1"/>
    <mergeCell ref="UVY1:UWB1"/>
    <mergeCell ref="UWC1:UWF1"/>
    <mergeCell ref="UUS1:UUV1"/>
    <mergeCell ref="UUW1:UUZ1"/>
    <mergeCell ref="UVA1:UVD1"/>
    <mergeCell ref="UVE1:UVH1"/>
    <mergeCell ref="UVI1:UVL1"/>
    <mergeCell ref="UTY1:UUB1"/>
    <mergeCell ref="UUC1:UUF1"/>
    <mergeCell ref="UUG1:UUJ1"/>
    <mergeCell ref="UUK1:UUN1"/>
    <mergeCell ref="UUO1:UUR1"/>
    <mergeCell ref="UTE1:UTH1"/>
    <mergeCell ref="UTI1:UTL1"/>
    <mergeCell ref="UTM1:UTP1"/>
    <mergeCell ref="UTQ1:UTT1"/>
    <mergeCell ref="UTU1:UTX1"/>
    <mergeCell ref="USK1:USN1"/>
    <mergeCell ref="USO1:USR1"/>
    <mergeCell ref="USS1:USV1"/>
    <mergeCell ref="USW1:USZ1"/>
    <mergeCell ref="UTA1:UTD1"/>
    <mergeCell ref="URQ1:URT1"/>
    <mergeCell ref="URU1:URX1"/>
    <mergeCell ref="URY1:USB1"/>
    <mergeCell ref="USC1:USF1"/>
    <mergeCell ref="USG1:USJ1"/>
    <mergeCell ref="UQW1:UQZ1"/>
    <mergeCell ref="URA1:URD1"/>
    <mergeCell ref="URE1:URH1"/>
    <mergeCell ref="URI1:URL1"/>
    <mergeCell ref="URM1:URP1"/>
    <mergeCell ref="UQC1:UQF1"/>
    <mergeCell ref="UQG1:UQJ1"/>
    <mergeCell ref="UQK1:UQN1"/>
    <mergeCell ref="UQO1:UQR1"/>
    <mergeCell ref="UQS1:UQV1"/>
    <mergeCell ref="UPI1:UPL1"/>
    <mergeCell ref="UPM1:UPP1"/>
    <mergeCell ref="UPQ1:UPT1"/>
    <mergeCell ref="UPU1:UPX1"/>
    <mergeCell ref="UPY1:UQB1"/>
    <mergeCell ref="UOO1:UOR1"/>
    <mergeCell ref="UOS1:UOV1"/>
    <mergeCell ref="UOW1:UOZ1"/>
    <mergeCell ref="UPA1:UPD1"/>
    <mergeCell ref="UPE1:UPH1"/>
    <mergeCell ref="UNU1:UNX1"/>
    <mergeCell ref="UNY1:UOB1"/>
    <mergeCell ref="UOC1:UOF1"/>
    <mergeCell ref="UOG1:UOJ1"/>
    <mergeCell ref="UOK1:UON1"/>
    <mergeCell ref="UNA1:UND1"/>
    <mergeCell ref="UNE1:UNH1"/>
    <mergeCell ref="UNI1:UNL1"/>
    <mergeCell ref="UNM1:UNP1"/>
    <mergeCell ref="UNQ1:UNT1"/>
    <mergeCell ref="UMG1:UMJ1"/>
    <mergeCell ref="UMK1:UMN1"/>
    <mergeCell ref="UMO1:UMR1"/>
    <mergeCell ref="UMS1:UMV1"/>
    <mergeCell ref="UMW1:UMZ1"/>
    <mergeCell ref="ULM1:ULP1"/>
    <mergeCell ref="ULQ1:ULT1"/>
    <mergeCell ref="ULU1:ULX1"/>
    <mergeCell ref="ULY1:UMB1"/>
    <mergeCell ref="UMC1:UMF1"/>
    <mergeCell ref="UKS1:UKV1"/>
    <mergeCell ref="UKW1:UKZ1"/>
    <mergeCell ref="ULA1:ULD1"/>
    <mergeCell ref="ULE1:ULH1"/>
    <mergeCell ref="ULI1:ULL1"/>
    <mergeCell ref="UJY1:UKB1"/>
    <mergeCell ref="UKC1:UKF1"/>
    <mergeCell ref="UKG1:UKJ1"/>
    <mergeCell ref="UKK1:UKN1"/>
    <mergeCell ref="UKO1:UKR1"/>
    <mergeCell ref="UJE1:UJH1"/>
    <mergeCell ref="UJI1:UJL1"/>
    <mergeCell ref="UJM1:UJP1"/>
    <mergeCell ref="UJQ1:UJT1"/>
    <mergeCell ref="UJU1:UJX1"/>
    <mergeCell ref="UIK1:UIN1"/>
    <mergeCell ref="UIO1:UIR1"/>
    <mergeCell ref="UIS1:UIV1"/>
    <mergeCell ref="UIW1:UIZ1"/>
    <mergeCell ref="UJA1:UJD1"/>
    <mergeCell ref="UHQ1:UHT1"/>
    <mergeCell ref="UHU1:UHX1"/>
    <mergeCell ref="UHY1:UIB1"/>
    <mergeCell ref="UIC1:UIF1"/>
    <mergeCell ref="UIG1:UIJ1"/>
    <mergeCell ref="UGW1:UGZ1"/>
    <mergeCell ref="UHA1:UHD1"/>
    <mergeCell ref="UHE1:UHH1"/>
    <mergeCell ref="UHI1:UHL1"/>
    <mergeCell ref="UHM1:UHP1"/>
    <mergeCell ref="UGC1:UGF1"/>
    <mergeCell ref="UGG1:UGJ1"/>
    <mergeCell ref="UGK1:UGN1"/>
    <mergeCell ref="UGO1:UGR1"/>
    <mergeCell ref="UGS1:UGV1"/>
    <mergeCell ref="UFI1:UFL1"/>
    <mergeCell ref="UFM1:UFP1"/>
    <mergeCell ref="UFQ1:UFT1"/>
    <mergeCell ref="UFU1:UFX1"/>
    <mergeCell ref="UFY1:UGB1"/>
    <mergeCell ref="UEO1:UER1"/>
    <mergeCell ref="UES1:UEV1"/>
    <mergeCell ref="UEW1:UEZ1"/>
    <mergeCell ref="UFA1:UFD1"/>
    <mergeCell ref="UFE1:UFH1"/>
    <mergeCell ref="UDU1:UDX1"/>
    <mergeCell ref="UDY1:UEB1"/>
    <mergeCell ref="UEC1:UEF1"/>
    <mergeCell ref="UEG1:UEJ1"/>
    <mergeCell ref="UEK1:UEN1"/>
    <mergeCell ref="UDA1:UDD1"/>
    <mergeCell ref="UDE1:UDH1"/>
    <mergeCell ref="UDI1:UDL1"/>
    <mergeCell ref="UDM1:UDP1"/>
    <mergeCell ref="UDQ1:UDT1"/>
    <mergeCell ref="UCG1:UCJ1"/>
    <mergeCell ref="UCK1:UCN1"/>
    <mergeCell ref="UCO1:UCR1"/>
    <mergeCell ref="UCS1:UCV1"/>
    <mergeCell ref="UCW1:UCZ1"/>
    <mergeCell ref="UBM1:UBP1"/>
    <mergeCell ref="UBQ1:UBT1"/>
    <mergeCell ref="UBU1:UBX1"/>
    <mergeCell ref="UBY1:UCB1"/>
    <mergeCell ref="UCC1:UCF1"/>
    <mergeCell ref="UAS1:UAV1"/>
    <mergeCell ref="UAW1:UAZ1"/>
    <mergeCell ref="UBA1:UBD1"/>
    <mergeCell ref="UBE1:UBH1"/>
    <mergeCell ref="UBI1:UBL1"/>
    <mergeCell ref="TZY1:UAB1"/>
    <mergeCell ref="UAC1:UAF1"/>
    <mergeCell ref="UAG1:UAJ1"/>
    <mergeCell ref="UAK1:UAN1"/>
    <mergeCell ref="UAO1:UAR1"/>
    <mergeCell ref="TZE1:TZH1"/>
    <mergeCell ref="TZI1:TZL1"/>
    <mergeCell ref="TZM1:TZP1"/>
    <mergeCell ref="TZQ1:TZT1"/>
    <mergeCell ref="TZU1:TZX1"/>
    <mergeCell ref="TYK1:TYN1"/>
    <mergeCell ref="TYO1:TYR1"/>
    <mergeCell ref="TYS1:TYV1"/>
    <mergeCell ref="TYW1:TYZ1"/>
    <mergeCell ref="TZA1:TZD1"/>
    <mergeCell ref="TXQ1:TXT1"/>
    <mergeCell ref="TXU1:TXX1"/>
    <mergeCell ref="TXY1:TYB1"/>
    <mergeCell ref="TYC1:TYF1"/>
    <mergeCell ref="TYG1:TYJ1"/>
    <mergeCell ref="TWW1:TWZ1"/>
    <mergeCell ref="TXA1:TXD1"/>
    <mergeCell ref="TXE1:TXH1"/>
    <mergeCell ref="TXI1:TXL1"/>
    <mergeCell ref="TXM1:TXP1"/>
    <mergeCell ref="TWC1:TWF1"/>
    <mergeCell ref="TWG1:TWJ1"/>
    <mergeCell ref="TWK1:TWN1"/>
    <mergeCell ref="TWO1:TWR1"/>
    <mergeCell ref="TWS1:TWV1"/>
    <mergeCell ref="TVI1:TVL1"/>
    <mergeCell ref="TVM1:TVP1"/>
    <mergeCell ref="TVQ1:TVT1"/>
    <mergeCell ref="TVU1:TVX1"/>
    <mergeCell ref="TVY1:TWB1"/>
    <mergeCell ref="TUO1:TUR1"/>
    <mergeCell ref="TUS1:TUV1"/>
    <mergeCell ref="TUW1:TUZ1"/>
    <mergeCell ref="TVA1:TVD1"/>
    <mergeCell ref="TVE1:TVH1"/>
    <mergeCell ref="TTU1:TTX1"/>
    <mergeCell ref="TTY1:TUB1"/>
    <mergeCell ref="TUC1:TUF1"/>
    <mergeCell ref="TUG1:TUJ1"/>
    <mergeCell ref="TUK1:TUN1"/>
    <mergeCell ref="TTA1:TTD1"/>
    <mergeCell ref="TTE1:TTH1"/>
    <mergeCell ref="TTI1:TTL1"/>
    <mergeCell ref="TTM1:TTP1"/>
    <mergeCell ref="TTQ1:TTT1"/>
    <mergeCell ref="TSG1:TSJ1"/>
    <mergeCell ref="TSK1:TSN1"/>
    <mergeCell ref="TSO1:TSR1"/>
    <mergeCell ref="TSS1:TSV1"/>
    <mergeCell ref="TSW1:TSZ1"/>
    <mergeCell ref="TRM1:TRP1"/>
    <mergeCell ref="TRQ1:TRT1"/>
    <mergeCell ref="TRU1:TRX1"/>
    <mergeCell ref="TRY1:TSB1"/>
    <mergeCell ref="TSC1:TSF1"/>
    <mergeCell ref="TQS1:TQV1"/>
    <mergeCell ref="TQW1:TQZ1"/>
    <mergeCell ref="TRA1:TRD1"/>
    <mergeCell ref="TRE1:TRH1"/>
    <mergeCell ref="TRI1:TRL1"/>
    <mergeCell ref="TPY1:TQB1"/>
    <mergeCell ref="TQC1:TQF1"/>
    <mergeCell ref="TQG1:TQJ1"/>
    <mergeCell ref="TQK1:TQN1"/>
    <mergeCell ref="TQO1:TQR1"/>
    <mergeCell ref="TPE1:TPH1"/>
    <mergeCell ref="TPI1:TPL1"/>
    <mergeCell ref="TPM1:TPP1"/>
    <mergeCell ref="TPQ1:TPT1"/>
    <mergeCell ref="TPU1:TPX1"/>
    <mergeCell ref="TOK1:TON1"/>
    <mergeCell ref="TOO1:TOR1"/>
    <mergeCell ref="TOS1:TOV1"/>
    <mergeCell ref="TOW1:TOZ1"/>
    <mergeCell ref="TPA1:TPD1"/>
    <mergeCell ref="TNQ1:TNT1"/>
    <mergeCell ref="TNU1:TNX1"/>
    <mergeCell ref="TNY1:TOB1"/>
    <mergeCell ref="TOC1:TOF1"/>
    <mergeCell ref="TOG1:TOJ1"/>
    <mergeCell ref="TMW1:TMZ1"/>
    <mergeCell ref="TNA1:TND1"/>
    <mergeCell ref="TNE1:TNH1"/>
    <mergeCell ref="TNI1:TNL1"/>
    <mergeCell ref="TNM1:TNP1"/>
    <mergeCell ref="TMC1:TMF1"/>
    <mergeCell ref="TMG1:TMJ1"/>
    <mergeCell ref="TMK1:TMN1"/>
    <mergeCell ref="TMO1:TMR1"/>
    <mergeCell ref="TMS1:TMV1"/>
    <mergeCell ref="TLI1:TLL1"/>
    <mergeCell ref="TLM1:TLP1"/>
    <mergeCell ref="TLQ1:TLT1"/>
    <mergeCell ref="TLU1:TLX1"/>
    <mergeCell ref="TLY1:TMB1"/>
    <mergeCell ref="TKO1:TKR1"/>
    <mergeCell ref="TKS1:TKV1"/>
    <mergeCell ref="TKW1:TKZ1"/>
    <mergeCell ref="TLA1:TLD1"/>
    <mergeCell ref="TLE1:TLH1"/>
    <mergeCell ref="TJU1:TJX1"/>
    <mergeCell ref="TJY1:TKB1"/>
    <mergeCell ref="TKC1:TKF1"/>
    <mergeCell ref="TKG1:TKJ1"/>
    <mergeCell ref="TKK1:TKN1"/>
    <mergeCell ref="TJA1:TJD1"/>
    <mergeCell ref="TJE1:TJH1"/>
    <mergeCell ref="TJI1:TJL1"/>
    <mergeCell ref="TJM1:TJP1"/>
    <mergeCell ref="TJQ1:TJT1"/>
    <mergeCell ref="TIG1:TIJ1"/>
    <mergeCell ref="TIK1:TIN1"/>
    <mergeCell ref="TIO1:TIR1"/>
    <mergeCell ref="TIS1:TIV1"/>
    <mergeCell ref="TIW1:TIZ1"/>
    <mergeCell ref="THM1:THP1"/>
    <mergeCell ref="THQ1:THT1"/>
    <mergeCell ref="THU1:THX1"/>
    <mergeCell ref="THY1:TIB1"/>
    <mergeCell ref="TIC1:TIF1"/>
    <mergeCell ref="TGS1:TGV1"/>
    <mergeCell ref="TGW1:TGZ1"/>
    <mergeCell ref="THA1:THD1"/>
    <mergeCell ref="THE1:THH1"/>
    <mergeCell ref="THI1:THL1"/>
    <mergeCell ref="TFY1:TGB1"/>
    <mergeCell ref="TGC1:TGF1"/>
    <mergeCell ref="TGG1:TGJ1"/>
    <mergeCell ref="TGK1:TGN1"/>
    <mergeCell ref="TGO1:TGR1"/>
    <mergeCell ref="TFE1:TFH1"/>
    <mergeCell ref="TFI1:TFL1"/>
    <mergeCell ref="TFM1:TFP1"/>
    <mergeCell ref="TFQ1:TFT1"/>
    <mergeCell ref="TFU1:TFX1"/>
    <mergeCell ref="TEK1:TEN1"/>
    <mergeCell ref="TEO1:TER1"/>
    <mergeCell ref="TES1:TEV1"/>
    <mergeCell ref="TEW1:TEZ1"/>
    <mergeCell ref="TFA1:TFD1"/>
    <mergeCell ref="TDQ1:TDT1"/>
    <mergeCell ref="TDU1:TDX1"/>
    <mergeCell ref="TDY1:TEB1"/>
    <mergeCell ref="TEC1:TEF1"/>
    <mergeCell ref="TEG1:TEJ1"/>
    <mergeCell ref="TCW1:TCZ1"/>
    <mergeCell ref="TDA1:TDD1"/>
    <mergeCell ref="TDE1:TDH1"/>
    <mergeCell ref="TDI1:TDL1"/>
    <mergeCell ref="TDM1:TDP1"/>
    <mergeCell ref="TCC1:TCF1"/>
    <mergeCell ref="TCG1:TCJ1"/>
    <mergeCell ref="TCK1:TCN1"/>
    <mergeCell ref="TCO1:TCR1"/>
    <mergeCell ref="TCS1:TCV1"/>
    <mergeCell ref="TBI1:TBL1"/>
    <mergeCell ref="TBM1:TBP1"/>
    <mergeCell ref="TBQ1:TBT1"/>
    <mergeCell ref="TBU1:TBX1"/>
    <mergeCell ref="TBY1:TCB1"/>
    <mergeCell ref="TAO1:TAR1"/>
    <mergeCell ref="TAS1:TAV1"/>
    <mergeCell ref="TAW1:TAZ1"/>
    <mergeCell ref="TBA1:TBD1"/>
    <mergeCell ref="TBE1:TBH1"/>
    <mergeCell ref="SZU1:SZX1"/>
    <mergeCell ref="SZY1:TAB1"/>
    <mergeCell ref="TAC1:TAF1"/>
    <mergeCell ref="TAG1:TAJ1"/>
    <mergeCell ref="TAK1:TAN1"/>
    <mergeCell ref="SZA1:SZD1"/>
    <mergeCell ref="SZE1:SZH1"/>
    <mergeCell ref="SZI1:SZL1"/>
    <mergeCell ref="SZM1:SZP1"/>
    <mergeCell ref="SZQ1:SZT1"/>
    <mergeCell ref="SYG1:SYJ1"/>
    <mergeCell ref="SYK1:SYN1"/>
    <mergeCell ref="SYO1:SYR1"/>
    <mergeCell ref="SYS1:SYV1"/>
    <mergeCell ref="SYW1:SYZ1"/>
    <mergeCell ref="SXM1:SXP1"/>
    <mergeCell ref="SXQ1:SXT1"/>
    <mergeCell ref="SXU1:SXX1"/>
    <mergeCell ref="SXY1:SYB1"/>
    <mergeCell ref="SYC1:SYF1"/>
    <mergeCell ref="SWS1:SWV1"/>
    <mergeCell ref="SWW1:SWZ1"/>
    <mergeCell ref="SXA1:SXD1"/>
    <mergeCell ref="SXE1:SXH1"/>
    <mergeCell ref="SXI1:SXL1"/>
    <mergeCell ref="SVY1:SWB1"/>
    <mergeCell ref="SWC1:SWF1"/>
    <mergeCell ref="SWG1:SWJ1"/>
    <mergeCell ref="SWK1:SWN1"/>
    <mergeCell ref="SWO1:SWR1"/>
    <mergeCell ref="SVE1:SVH1"/>
    <mergeCell ref="SVI1:SVL1"/>
    <mergeCell ref="SVM1:SVP1"/>
    <mergeCell ref="SVQ1:SVT1"/>
    <mergeCell ref="SVU1:SVX1"/>
    <mergeCell ref="SUK1:SUN1"/>
    <mergeCell ref="SUO1:SUR1"/>
    <mergeCell ref="SUS1:SUV1"/>
    <mergeCell ref="SUW1:SUZ1"/>
    <mergeCell ref="SVA1:SVD1"/>
    <mergeCell ref="STQ1:STT1"/>
    <mergeCell ref="STU1:STX1"/>
    <mergeCell ref="STY1:SUB1"/>
    <mergeCell ref="SUC1:SUF1"/>
    <mergeCell ref="SUG1:SUJ1"/>
    <mergeCell ref="SSW1:SSZ1"/>
    <mergeCell ref="STA1:STD1"/>
    <mergeCell ref="STE1:STH1"/>
    <mergeCell ref="STI1:STL1"/>
    <mergeCell ref="STM1:STP1"/>
    <mergeCell ref="SSC1:SSF1"/>
    <mergeCell ref="SSG1:SSJ1"/>
    <mergeCell ref="SSK1:SSN1"/>
    <mergeCell ref="SSO1:SSR1"/>
    <mergeCell ref="SSS1:SSV1"/>
    <mergeCell ref="SRI1:SRL1"/>
    <mergeCell ref="SRM1:SRP1"/>
    <mergeCell ref="SRQ1:SRT1"/>
    <mergeCell ref="SRU1:SRX1"/>
    <mergeCell ref="SRY1:SSB1"/>
    <mergeCell ref="SQO1:SQR1"/>
    <mergeCell ref="SQS1:SQV1"/>
    <mergeCell ref="SQW1:SQZ1"/>
    <mergeCell ref="SRA1:SRD1"/>
    <mergeCell ref="SRE1:SRH1"/>
    <mergeCell ref="SPU1:SPX1"/>
    <mergeCell ref="SPY1:SQB1"/>
    <mergeCell ref="SQC1:SQF1"/>
    <mergeCell ref="SQG1:SQJ1"/>
    <mergeCell ref="SQK1:SQN1"/>
    <mergeCell ref="SPA1:SPD1"/>
    <mergeCell ref="SPE1:SPH1"/>
    <mergeCell ref="SPI1:SPL1"/>
    <mergeCell ref="SPM1:SPP1"/>
    <mergeCell ref="SPQ1:SPT1"/>
    <mergeCell ref="SOG1:SOJ1"/>
    <mergeCell ref="SOK1:SON1"/>
    <mergeCell ref="SOO1:SOR1"/>
    <mergeCell ref="SOS1:SOV1"/>
    <mergeCell ref="SOW1:SOZ1"/>
    <mergeCell ref="SNM1:SNP1"/>
    <mergeCell ref="SNQ1:SNT1"/>
    <mergeCell ref="SNU1:SNX1"/>
    <mergeCell ref="SNY1:SOB1"/>
    <mergeCell ref="SOC1:SOF1"/>
    <mergeCell ref="SMS1:SMV1"/>
    <mergeCell ref="SMW1:SMZ1"/>
    <mergeCell ref="SNA1:SND1"/>
    <mergeCell ref="SNE1:SNH1"/>
    <mergeCell ref="SNI1:SNL1"/>
    <mergeCell ref="SLY1:SMB1"/>
    <mergeCell ref="SMC1:SMF1"/>
    <mergeCell ref="SMG1:SMJ1"/>
    <mergeCell ref="SMK1:SMN1"/>
    <mergeCell ref="SMO1:SMR1"/>
    <mergeCell ref="SLE1:SLH1"/>
    <mergeCell ref="SLI1:SLL1"/>
    <mergeCell ref="SLM1:SLP1"/>
    <mergeCell ref="SLQ1:SLT1"/>
    <mergeCell ref="SLU1:SLX1"/>
    <mergeCell ref="SKK1:SKN1"/>
    <mergeCell ref="SKO1:SKR1"/>
    <mergeCell ref="SKS1:SKV1"/>
    <mergeCell ref="SKW1:SKZ1"/>
    <mergeCell ref="SLA1:SLD1"/>
    <mergeCell ref="SJQ1:SJT1"/>
    <mergeCell ref="SJU1:SJX1"/>
    <mergeCell ref="SJY1:SKB1"/>
    <mergeCell ref="SKC1:SKF1"/>
    <mergeCell ref="SKG1:SKJ1"/>
    <mergeCell ref="SIW1:SIZ1"/>
    <mergeCell ref="SJA1:SJD1"/>
    <mergeCell ref="SJE1:SJH1"/>
    <mergeCell ref="SJI1:SJL1"/>
    <mergeCell ref="SJM1:SJP1"/>
    <mergeCell ref="SIC1:SIF1"/>
    <mergeCell ref="SIG1:SIJ1"/>
    <mergeCell ref="SIK1:SIN1"/>
    <mergeCell ref="SIO1:SIR1"/>
    <mergeCell ref="SIS1:SIV1"/>
    <mergeCell ref="SHI1:SHL1"/>
    <mergeCell ref="SHM1:SHP1"/>
    <mergeCell ref="SHQ1:SHT1"/>
    <mergeCell ref="SHU1:SHX1"/>
    <mergeCell ref="SHY1:SIB1"/>
    <mergeCell ref="SGO1:SGR1"/>
    <mergeCell ref="SGS1:SGV1"/>
    <mergeCell ref="SGW1:SGZ1"/>
    <mergeCell ref="SHA1:SHD1"/>
    <mergeCell ref="SHE1:SHH1"/>
    <mergeCell ref="SFU1:SFX1"/>
    <mergeCell ref="SFY1:SGB1"/>
    <mergeCell ref="SGC1:SGF1"/>
    <mergeCell ref="SGG1:SGJ1"/>
    <mergeCell ref="SGK1:SGN1"/>
    <mergeCell ref="SFA1:SFD1"/>
    <mergeCell ref="SFE1:SFH1"/>
    <mergeCell ref="SFI1:SFL1"/>
    <mergeCell ref="SFM1:SFP1"/>
    <mergeCell ref="SFQ1:SFT1"/>
    <mergeCell ref="SEG1:SEJ1"/>
    <mergeCell ref="SEK1:SEN1"/>
    <mergeCell ref="SEO1:SER1"/>
    <mergeCell ref="SES1:SEV1"/>
    <mergeCell ref="SEW1:SEZ1"/>
    <mergeCell ref="SDM1:SDP1"/>
    <mergeCell ref="SDQ1:SDT1"/>
    <mergeCell ref="SDU1:SDX1"/>
    <mergeCell ref="SDY1:SEB1"/>
    <mergeCell ref="SEC1:SEF1"/>
    <mergeCell ref="SCS1:SCV1"/>
    <mergeCell ref="SCW1:SCZ1"/>
    <mergeCell ref="SDA1:SDD1"/>
    <mergeCell ref="SDE1:SDH1"/>
    <mergeCell ref="SDI1:SDL1"/>
    <mergeCell ref="SBY1:SCB1"/>
    <mergeCell ref="SCC1:SCF1"/>
    <mergeCell ref="SCG1:SCJ1"/>
    <mergeCell ref="SCK1:SCN1"/>
    <mergeCell ref="SCO1:SCR1"/>
    <mergeCell ref="SBE1:SBH1"/>
    <mergeCell ref="SBI1:SBL1"/>
    <mergeCell ref="SBM1:SBP1"/>
    <mergeCell ref="SBQ1:SBT1"/>
    <mergeCell ref="SBU1:SBX1"/>
    <mergeCell ref="SAK1:SAN1"/>
    <mergeCell ref="SAO1:SAR1"/>
    <mergeCell ref="SAS1:SAV1"/>
    <mergeCell ref="SAW1:SAZ1"/>
    <mergeCell ref="SBA1:SBD1"/>
    <mergeCell ref="RZQ1:RZT1"/>
    <mergeCell ref="RZU1:RZX1"/>
    <mergeCell ref="RZY1:SAB1"/>
    <mergeCell ref="SAC1:SAF1"/>
    <mergeCell ref="SAG1:SAJ1"/>
    <mergeCell ref="RYW1:RYZ1"/>
    <mergeCell ref="RZA1:RZD1"/>
    <mergeCell ref="RZE1:RZH1"/>
    <mergeCell ref="RZI1:RZL1"/>
    <mergeCell ref="RZM1:RZP1"/>
    <mergeCell ref="RYC1:RYF1"/>
    <mergeCell ref="RYG1:RYJ1"/>
    <mergeCell ref="RYK1:RYN1"/>
    <mergeCell ref="RYO1:RYR1"/>
    <mergeCell ref="RYS1:RYV1"/>
    <mergeCell ref="RXI1:RXL1"/>
    <mergeCell ref="RXM1:RXP1"/>
    <mergeCell ref="RXQ1:RXT1"/>
    <mergeCell ref="RXU1:RXX1"/>
    <mergeCell ref="RXY1:RYB1"/>
    <mergeCell ref="RWO1:RWR1"/>
    <mergeCell ref="RWS1:RWV1"/>
    <mergeCell ref="RWW1:RWZ1"/>
    <mergeCell ref="RXA1:RXD1"/>
    <mergeCell ref="RXE1:RXH1"/>
    <mergeCell ref="RVU1:RVX1"/>
    <mergeCell ref="RVY1:RWB1"/>
    <mergeCell ref="RWC1:RWF1"/>
    <mergeCell ref="RWG1:RWJ1"/>
    <mergeCell ref="RWK1:RWN1"/>
    <mergeCell ref="RVA1:RVD1"/>
    <mergeCell ref="RVE1:RVH1"/>
    <mergeCell ref="RVI1:RVL1"/>
    <mergeCell ref="RVM1:RVP1"/>
    <mergeCell ref="RVQ1:RVT1"/>
    <mergeCell ref="RUG1:RUJ1"/>
    <mergeCell ref="RUK1:RUN1"/>
    <mergeCell ref="RUO1:RUR1"/>
    <mergeCell ref="RUS1:RUV1"/>
    <mergeCell ref="RUW1:RUZ1"/>
    <mergeCell ref="RTM1:RTP1"/>
    <mergeCell ref="RTQ1:RTT1"/>
    <mergeCell ref="RTU1:RTX1"/>
    <mergeCell ref="RTY1:RUB1"/>
    <mergeCell ref="RUC1:RUF1"/>
    <mergeCell ref="RSS1:RSV1"/>
    <mergeCell ref="RSW1:RSZ1"/>
    <mergeCell ref="RTA1:RTD1"/>
    <mergeCell ref="RTE1:RTH1"/>
    <mergeCell ref="RTI1:RTL1"/>
    <mergeCell ref="RRY1:RSB1"/>
    <mergeCell ref="RSC1:RSF1"/>
    <mergeCell ref="RSG1:RSJ1"/>
    <mergeCell ref="RSK1:RSN1"/>
    <mergeCell ref="RSO1:RSR1"/>
    <mergeCell ref="RRE1:RRH1"/>
    <mergeCell ref="RRI1:RRL1"/>
    <mergeCell ref="RRM1:RRP1"/>
    <mergeCell ref="RRQ1:RRT1"/>
    <mergeCell ref="RRU1:RRX1"/>
    <mergeCell ref="RQK1:RQN1"/>
    <mergeCell ref="RQO1:RQR1"/>
    <mergeCell ref="RQS1:RQV1"/>
    <mergeCell ref="RQW1:RQZ1"/>
    <mergeCell ref="RRA1:RRD1"/>
    <mergeCell ref="RPQ1:RPT1"/>
    <mergeCell ref="RPU1:RPX1"/>
    <mergeCell ref="RPY1:RQB1"/>
    <mergeCell ref="RQC1:RQF1"/>
    <mergeCell ref="RQG1:RQJ1"/>
    <mergeCell ref="ROW1:ROZ1"/>
    <mergeCell ref="RPA1:RPD1"/>
    <mergeCell ref="RPE1:RPH1"/>
    <mergeCell ref="RPI1:RPL1"/>
    <mergeCell ref="RPM1:RPP1"/>
    <mergeCell ref="ROC1:ROF1"/>
    <mergeCell ref="ROG1:ROJ1"/>
    <mergeCell ref="ROK1:RON1"/>
    <mergeCell ref="ROO1:ROR1"/>
    <mergeCell ref="ROS1:ROV1"/>
    <mergeCell ref="RNI1:RNL1"/>
    <mergeCell ref="RNM1:RNP1"/>
    <mergeCell ref="RNQ1:RNT1"/>
    <mergeCell ref="RNU1:RNX1"/>
    <mergeCell ref="RNY1:ROB1"/>
    <mergeCell ref="RMO1:RMR1"/>
    <mergeCell ref="RMS1:RMV1"/>
    <mergeCell ref="RMW1:RMZ1"/>
    <mergeCell ref="RNA1:RND1"/>
    <mergeCell ref="RNE1:RNH1"/>
    <mergeCell ref="RLU1:RLX1"/>
    <mergeCell ref="RLY1:RMB1"/>
    <mergeCell ref="RMC1:RMF1"/>
    <mergeCell ref="RMG1:RMJ1"/>
    <mergeCell ref="RMK1:RMN1"/>
    <mergeCell ref="RLA1:RLD1"/>
    <mergeCell ref="RLE1:RLH1"/>
    <mergeCell ref="RLI1:RLL1"/>
    <mergeCell ref="RLM1:RLP1"/>
    <mergeCell ref="RLQ1:RLT1"/>
    <mergeCell ref="RKG1:RKJ1"/>
    <mergeCell ref="RKK1:RKN1"/>
    <mergeCell ref="RKO1:RKR1"/>
    <mergeCell ref="RKS1:RKV1"/>
    <mergeCell ref="RKW1:RKZ1"/>
    <mergeCell ref="RJM1:RJP1"/>
    <mergeCell ref="RJQ1:RJT1"/>
    <mergeCell ref="RJU1:RJX1"/>
    <mergeCell ref="RJY1:RKB1"/>
    <mergeCell ref="RKC1:RKF1"/>
    <mergeCell ref="RIS1:RIV1"/>
    <mergeCell ref="RIW1:RIZ1"/>
    <mergeCell ref="RJA1:RJD1"/>
    <mergeCell ref="RJE1:RJH1"/>
    <mergeCell ref="RJI1:RJL1"/>
    <mergeCell ref="RHY1:RIB1"/>
    <mergeCell ref="RIC1:RIF1"/>
    <mergeCell ref="RIG1:RIJ1"/>
    <mergeCell ref="RIK1:RIN1"/>
    <mergeCell ref="RIO1:RIR1"/>
    <mergeCell ref="RHE1:RHH1"/>
    <mergeCell ref="RHI1:RHL1"/>
    <mergeCell ref="RHM1:RHP1"/>
    <mergeCell ref="RHQ1:RHT1"/>
    <mergeCell ref="RHU1:RHX1"/>
    <mergeCell ref="RGK1:RGN1"/>
    <mergeCell ref="RGO1:RGR1"/>
    <mergeCell ref="RGS1:RGV1"/>
    <mergeCell ref="RGW1:RGZ1"/>
    <mergeCell ref="RHA1:RHD1"/>
    <mergeCell ref="RFQ1:RFT1"/>
    <mergeCell ref="RFU1:RFX1"/>
    <mergeCell ref="RFY1:RGB1"/>
    <mergeCell ref="RGC1:RGF1"/>
    <mergeCell ref="RGG1:RGJ1"/>
    <mergeCell ref="REW1:REZ1"/>
    <mergeCell ref="RFA1:RFD1"/>
    <mergeCell ref="RFE1:RFH1"/>
    <mergeCell ref="RFI1:RFL1"/>
    <mergeCell ref="RFM1:RFP1"/>
    <mergeCell ref="REC1:REF1"/>
    <mergeCell ref="REG1:REJ1"/>
    <mergeCell ref="REK1:REN1"/>
    <mergeCell ref="REO1:RER1"/>
    <mergeCell ref="RES1:REV1"/>
    <mergeCell ref="RDI1:RDL1"/>
    <mergeCell ref="RDM1:RDP1"/>
    <mergeCell ref="RDQ1:RDT1"/>
    <mergeCell ref="RDU1:RDX1"/>
    <mergeCell ref="RDY1:REB1"/>
    <mergeCell ref="RCO1:RCR1"/>
    <mergeCell ref="RCS1:RCV1"/>
    <mergeCell ref="RCW1:RCZ1"/>
    <mergeCell ref="RDA1:RDD1"/>
    <mergeCell ref="RDE1:RDH1"/>
    <mergeCell ref="RBU1:RBX1"/>
    <mergeCell ref="RBY1:RCB1"/>
    <mergeCell ref="RCC1:RCF1"/>
    <mergeCell ref="RCG1:RCJ1"/>
    <mergeCell ref="RCK1:RCN1"/>
    <mergeCell ref="RBA1:RBD1"/>
    <mergeCell ref="RBE1:RBH1"/>
    <mergeCell ref="RBI1:RBL1"/>
    <mergeCell ref="RBM1:RBP1"/>
    <mergeCell ref="RBQ1:RBT1"/>
    <mergeCell ref="RAG1:RAJ1"/>
    <mergeCell ref="RAK1:RAN1"/>
    <mergeCell ref="RAO1:RAR1"/>
    <mergeCell ref="RAS1:RAV1"/>
    <mergeCell ref="RAW1:RAZ1"/>
    <mergeCell ref="QZM1:QZP1"/>
    <mergeCell ref="QZQ1:QZT1"/>
    <mergeCell ref="QZU1:QZX1"/>
    <mergeCell ref="QZY1:RAB1"/>
    <mergeCell ref="RAC1:RAF1"/>
    <mergeCell ref="QYS1:QYV1"/>
    <mergeCell ref="QYW1:QYZ1"/>
    <mergeCell ref="QZA1:QZD1"/>
    <mergeCell ref="QZE1:QZH1"/>
    <mergeCell ref="QZI1:QZL1"/>
    <mergeCell ref="QXY1:QYB1"/>
    <mergeCell ref="QYC1:QYF1"/>
    <mergeCell ref="QYG1:QYJ1"/>
    <mergeCell ref="QYK1:QYN1"/>
    <mergeCell ref="QYO1:QYR1"/>
    <mergeCell ref="QXE1:QXH1"/>
    <mergeCell ref="QXI1:QXL1"/>
    <mergeCell ref="QXM1:QXP1"/>
    <mergeCell ref="QXQ1:QXT1"/>
    <mergeCell ref="QXU1:QXX1"/>
    <mergeCell ref="QWK1:QWN1"/>
    <mergeCell ref="QWO1:QWR1"/>
    <mergeCell ref="QWS1:QWV1"/>
    <mergeCell ref="QWW1:QWZ1"/>
    <mergeCell ref="QXA1:QXD1"/>
    <mergeCell ref="QVQ1:QVT1"/>
    <mergeCell ref="QVU1:QVX1"/>
    <mergeCell ref="QVY1:QWB1"/>
    <mergeCell ref="QWC1:QWF1"/>
    <mergeCell ref="QWG1:QWJ1"/>
    <mergeCell ref="QUW1:QUZ1"/>
    <mergeCell ref="QVA1:QVD1"/>
    <mergeCell ref="QVE1:QVH1"/>
    <mergeCell ref="QVI1:QVL1"/>
    <mergeCell ref="QVM1:QVP1"/>
    <mergeCell ref="QUC1:QUF1"/>
    <mergeCell ref="QUG1:QUJ1"/>
    <mergeCell ref="QUK1:QUN1"/>
    <mergeCell ref="QUO1:QUR1"/>
    <mergeCell ref="QUS1:QUV1"/>
    <mergeCell ref="QTI1:QTL1"/>
    <mergeCell ref="QTM1:QTP1"/>
    <mergeCell ref="QTQ1:QTT1"/>
    <mergeCell ref="QTU1:QTX1"/>
    <mergeCell ref="QTY1:QUB1"/>
    <mergeCell ref="QSO1:QSR1"/>
    <mergeCell ref="QSS1:QSV1"/>
    <mergeCell ref="QSW1:QSZ1"/>
    <mergeCell ref="QTA1:QTD1"/>
    <mergeCell ref="QTE1:QTH1"/>
    <mergeCell ref="QRU1:QRX1"/>
    <mergeCell ref="QRY1:QSB1"/>
    <mergeCell ref="QSC1:QSF1"/>
    <mergeCell ref="QSG1:QSJ1"/>
    <mergeCell ref="QSK1:QSN1"/>
    <mergeCell ref="QRA1:QRD1"/>
    <mergeCell ref="QRE1:QRH1"/>
    <mergeCell ref="QRI1:QRL1"/>
    <mergeCell ref="QRM1:QRP1"/>
    <mergeCell ref="QRQ1:QRT1"/>
    <mergeCell ref="QQG1:QQJ1"/>
    <mergeCell ref="QQK1:QQN1"/>
    <mergeCell ref="QQO1:QQR1"/>
    <mergeCell ref="QQS1:QQV1"/>
    <mergeCell ref="QQW1:QQZ1"/>
    <mergeCell ref="QPM1:QPP1"/>
    <mergeCell ref="QPQ1:QPT1"/>
    <mergeCell ref="QPU1:QPX1"/>
    <mergeCell ref="QPY1:QQB1"/>
    <mergeCell ref="QQC1:QQF1"/>
    <mergeCell ref="QOS1:QOV1"/>
    <mergeCell ref="QOW1:QOZ1"/>
    <mergeCell ref="QPA1:QPD1"/>
    <mergeCell ref="QPE1:QPH1"/>
    <mergeCell ref="QPI1:QPL1"/>
    <mergeCell ref="QNY1:QOB1"/>
    <mergeCell ref="QOC1:QOF1"/>
    <mergeCell ref="QOG1:QOJ1"/>
    <mergeCell ref="QOK1:QON1"/>
    <mergeCell ref="QOO1:QOR1"/>
    <mergeCell ref="QNE1:QNH1"/>
    <mergeCell ref="QNI1:QNL1"/>
    <mergeCell ref="QNM1:QNP1"/>
    <mergeCell ref="QNQ1:QNT1"/>
    <mergeCell ref="QNU1:QNX1"/>
    <mergeCell ref="QMK1:QMN1"/>
    <mergeCell ref="QMO1:QMR1"/>
    <mergeCell ref="QMS1:QMV1"/>
    <mergeCell ref="QMW1:QMZ1"/>
    <mergeCell ref="QNA1:QND1"/>
    <mergeCell ref="QLQ1:QLT1"/>
    <mergeCell ref="QLU1:QLX1"/>
    <mergeCell ref="QLY1:QMB1"/>
    <mergeCell ref="QMC1:QMF1"/>
    <mergeCell ref="QMG1:QMJ1"/>
    <mergeCell ref="QKW1:QKZ1"/>
    <mergeCell ref="QLA1:QLD1"/>
    <mergeCell ref="QLE1:QLH1"/>
    <mergeCell ref="QLI1:QLL1"/>
    <mergeCell ref="QLM1:QLP1"/>
    <mergeCell ref="QKC1:QKF1"/>
    <mergeCell ref="QKG1:QKJ1"/>
    <mergeCell ref="QKK1:QKN1"/>
    <mergeCell ref="QKO1:QKR1"/>
    <mergeCell ref="QKS1:QKV1"/>
    <mergeCell ref="QJI1:QJL1"/>
    <mergeCell ref="QJM1:QJP1"/>
    <mergeCell ref="QJQ1:QJT1"/>
    <mergeCell ref="QJU1:QJX1"/>
    <mergeCell ref="QJY1:QKB1"/>
    <mergeCell ref="QIO1:QIR1"/>
    <mergeCell ref="QIS1:QIV1"/>
    <mergeCell ref="QIW1:QIZ1"/>
    <mergeCell ref="QJA1:QJD1"/>
    <mergeCell ref="QJE1:QJH1"/>
    <mergeCell ref="QHU1:QHX1"/>
    <mergeCell ref="QHY1:QIB1"/>
    <mergeCell ref="QIC1:QIF1"/>
    <mergeCell ref="QIG1:QIJ1"/>
    <mergeCell ref="QIK1:QIN1"/>
    <mergeCell ref="QHA1:QHD1"/>
    <mergeCell ref="QHE1:QHH1"/>
    <mergeCell ref="QHI1:QHL1"/>
    <mergeCell ref="QHM1:QHP1"/>
    <mergeCell ref="QHQ1:QHT1"/>
    <mergeCell ref="QGG1:QGJ1"/>
    <mergeCell ref="QGK1:QGN1"/>
    <mergeCell ref="QGO1:QGR1"/>
    <mergeCell ref="QGS1:QGV1"/>
    <mergeCell ref="QGW1:QGZ1"/>
    <mergeCell ref="QFM1:QFP1"/>
    <mergeCell ref="QFQ1:QFT1"/>
    <mergeCell ref="QFU1:QFX1"/>
    <mergeCell ref="QFY1:QGB1"/>
    <mergeCell ref="QGC1:QGF1"/>
    <mergeCell ref="QES1:QEV1"/>
    <mergeCell ref="QEW1:QEZ1"/>
    <mergeCell ref="QFA1:QFD1"/>
    <mergeCell ref="QFE1:QFH1"/>
    <mergeCell ref="QFI1:QFL1"/>
    <mergeCell ref="QDY1:QEB1"/>
    <mergeCell ref="QEC1:QEF1"/>
    <mergeCell ref="QEG1:QEJ1"/>
    <mergeCell ref="QEK1:QEN1"/>
    <mergeCell ref="QEO1:QER1"/>
    <mergeCell ref="QDE1:QDH1"/>
    <mergeCell ref="QDI1:QDL1"/>
    <mergeCell ref="QDM1:QDP1"/>
    <mergeCell ref="QDQ1:QDT1"/>
    <mergeCell ref="QDU1:QDX1"/>
    <mergeCell ref="QCK1:QCN1"/>
    <mergeCell ref="QCO1:QCR1"/>
    <mergeCell ref="QCS1:QCV1"/>
    <mergeCell ref="QCW1:QCZ1"/>
    <mergeCell ref="QDA1:QDD1"/>
    <mergeCell ref="QBQ1:QBT1"/>
    <mergeCell ref="QBU1:QBX1"/>
    <mergeCell ref="QBY1:QCB1"/>
    <mergeCell ref="QCC1:QCF1"/>
    <mergeCell ref="QCG1:QCJ1"/>
    <mergeCell ref="QAW1:QAZ1"/>
    <mergeCell ref="QBA1:QBD1"/>
    <mergeCell ref="QBE1:QBH1"/>
    <mergeCell ref="QBI1:QBL1"/>
    <mergeCell ref="QBM1:QBP1"/>
    <mergeCell ref="QAC1:QAF1"/>
    <mergeCell ref="QAG1:QAJ1"/>
    <mergeCell ref="QAK1:QAN1"/>
    <mergeCell ref="QAO1:QAR1"/>
    <mergeCell ref="QAS1:QAV1"/>
    <mergeCell ref="PZI1:PZL1"/>
    <mergeCell ref="PZM1:PZP1"/>
    <mergeCell ref="PZQ1:PZT1"/>
    <mergeCell ref="PZU1:PZX1"/>
    <mergeCell ref="PZY1:QAB1"/>
    <mergeCell ref="PYO1:PYR1"/>
    <mergeCell ref="PYS1:PYV1"/>
    <mergeCell ref="PYW1:PYZ1"/>
    <mergeCell ref="PZA1:PZD1"/>
    <mergeCell ref="PZE1:PZH1"/>
    <mergeCell ref="PXU1:PXX1"/>
    <mergeCell ref="PXY1:PYB1"/>
    <mergeCell ref="PYC1:PYF1"/>
    <mergeCell ref="PYG1:PYJ1"/>
    <mergeCell ref="PYK1:PYN1"/>
    <mergeCell ref="PXA1:PXD1"/>
    <mergeCell ref="PXE1:PXH1"/>
    <mergeCell ref="PXI1:PXL1"/>
    <mergeCell ref="PXM1:PXP1"/>
    <mergeCell ref="PXQ1:PXT1"/>
    <mergeCell ref="PWG1:PWJ1"/>
    <mergeCell ref="PWK1:PWN1"/>
    <mergeCell ref="PWO1:PWR1"/>
    <mergeCell ref="PWS1:PWV1"/>
    <mergeCell ref="PWW1:PWZ1"/>
    <mergeCell ref="PVM1:PVP1"/>
    <mergeCell ref="PVQ1:PVT1"/>
    <mergeCell ref="PVU1:PVX1"/>
    <mergeCell ref="PVY1:PWB1"/>
    <mergeCell ref="PWC1:PWF1"/>
    <mergeCell ref="PUS1:PUV1"/>
    <mergeCell ref="PUW1:PUZ1"/>
    <mergeCell ref="PVA1:PVD1"/>
    <mergeCell ref="PVE1:PVH1"/>
    <mergeCell ref="PVI1:PVL1"/>
    <mergeCell ref="PTY1:PUB1"/>
    <mergeCell ref="PUC1:PUF1"/>
    <mergeCell ref="PUG1:PUJ1"/>
    <mergeCell ref="PUK1:PUN1"/>
    <mergeCell ref="PUO1:PUR1"/>
    <mergeCell ref="PTE1:PTH1"/>
    <mergeCell ref="PTI1:PTL1"/>
    <mergeCell ref="PTM1:PTP1"/>
    <mergeCell ref="PTQ1:PTT1"/>
    <mergeCell ref="PTU1:PTX1"/>
    <mergeCell ref="PSK1:PSN1"/>
    <mergeCell ref="PSO1:PSR1"/>
    <mergeCell ref="PSS1:PSV1"/>
    <mergeCell ref="PSW1:PSZ1"/>
    <mergeCell ref="PTA1:PTD1"/>
    <mergeCell ref="PRQ1:PRT1"/>
    <mergeCell ref="PRU1:PRX1"/>
    <mergeCell ref="PRY1:PSB1"/>
    <mergeCell ref="PSC1:PSF1"/>
    <mergeCell ref="PSG1:PSJ1"/>
    <mergeCell ref="PQW1:PQZ1"/>
    <mergeCell ref="PRA1:PRD1"/>
    <mergeCell ref="PRE1:PRH1"/>
    <mergeCell ref="PRI1:PRL1"/>
    <mergeCell ref="PRM1:PRP1"/>
    <mergeCell ref="PQC1:PQF1"/>
    <mergeCell ref="PQG1:PQJ1"/>
    <mergeCell ref="PQK1:PQN1"/>
    <mergeCell ref="PQO1:PQR1"/>
    <mergeCell ref="PQS1:PQV1"/>
    <mergeCell ref="PPI1:PPL1"/>
    <mergeCell ref="PPM1:PPP1"/>
    <mergeCell ref="PPQ1:PPT1"/>
    <mergeCell ref="PPU1:PPX1"/>
    <mergeCell ref="PPY1:PQB1"/>
    <mergeCell ref="POO1:POR1"/>
    <mergeCell ref="POS1:POV1"/>
    <mergeCell ref="POW1:POZ1"/>
    <mergeCell ref="PPA1:PPD1"/>
    <mergeCell ref="PPE1:PPH1"/>
    <mergeCell ref="PNU1:PNX1"/>
    <mergeCell ref="PNY1:POB1"/>
    <mergeCell ref="POC1:POF1"/>
    <mergeCell ref="POG1:POJ1"/>
    <mergeCell ref="POK1:PON1"/>
    <mergeCell ref="PNA1:PND1"/>
    <mergeCell ref="PNE1:PNH1"/>
    <mergeCell ref="PNI1:PNL1"/>
    <mergeCell ref="PNM1:PNP1"/>
    <mergeCell ref="PNQ1:PNT1"/>
    <mergeCell ref="PMG1:PMJ1"/>
    <mergeCell ref="PMK1:PMN1"/>
    <mergeCell ref="PMO1:PMR1"/>
    <mergeCell ref="PMS1:PMV1"/>
    <mergeCell ref="PMW1:PMZ1"/>
    <mergeCell ref="PLM1:PLP1"/>
    <mergeCell ref="PLQ1:PLT1"/>
    <mergeCell ref="PLU1:PLX1"/>
    <mergeCell ref="PLY1:PMB1"/>
    <mergeCell ref="PMC1:PMF1"/>
    <mergeCell ref="PKS1:PKV1"/>
    <mergeCell ref="PKW1:PKZ1"/>
    <mergeCell ref="PLA1:PLD1"/>
    <mergeCell ref="PLE1:PLH1"/>
    <mergeCell ref="PLI1:PLL1"/>
    <mergeCell ref="PJY1:PKB1"/>
    <mergeCell ref="PKC1:PKF1"/>
    <mergeCell ref="PKG1:PKJ1"/>
    <mergeCell ref="PKK1:PKN1"/>
    <mergeCell ref="PKO1:PKR1"/>
    <mergeCell ref="PJE1:PJH1"/>
    <mergeCell ref="PJI1:PJL1"/>
    <mergeCell ref="PJM1:PJP1"/>
    <mergeCell ref="PJQ1:PJT1"/>
    <mergeCell ref="PJU1:PJX1"/>
    <mergeCell ref="PIK1:PIN1"/>
    <mergeCell ref="PIO1:PIR1"/>
    <mergeCell ref="PIS1:PIV1"/>
    <mergeCell ref="PIW1:PIZ1"/>
    <mergeCell ref="PJA1:PJD1"/>
    <mergeCell ref="PHQ1:PHT1"/>
    <mergeCell ref="PHU1:PHX1"/>
    <mergeCell ref="PHY1:PIB1"/>
    <mergeCell ref="PIC1:PIF1"/>
    <mergeCell ref="PIG1:PIJ1"/>
    <mergeCell ref="PGW1:PGZ1"/>
    <mergeCell ref="PHA1:PHD1"/>
    <mergeCell ref="PHE1:PHH1"/>
    <mergeCell ref="PHI1:PHL1"/>
    <mergeCell ref="PHM1:PHP1"/>
    <mergeCell ref="PGC1:PGF1"/>
    <mergeCell ref="PGG1:PGJ1"/>
    <mergeCell ref="PGK1:PGN1"/>
    <mergeCell ref="PGO1:PGR1"/>
    <mergeCell ref="PGS1:PGV1"/>
    <mergeCell ref="PFI1:PFL1"/>
    <mergeCell ref="PFM1:PFP1"/>
    <mergeCell ref="PFQ1:PFT1"/>
    <mergeCell ref="PFU1:PFX1"/>
    <mergeCell ref="PFY1:PGB1"/>
    <mergeCell ref="PEO1:PER1"/>
    <mergeCell ref="PES1:PEV1"/>
    <mergeCell ref="PEW1:PEZ1"/>
    <mergeCell ref="PFA1:PFD1"/>
    <mergeCell ref="PFE1:PFH1"/>
    <mergeCell ref="PDU1:PDX1"/>
    <mergeCell ref="PDY1:PEB1"/>
    <mergeCell ref="PEC1:PEF1"/>
    <mergeCell ref="PEG1:PEJ1"/>
    <mergeCell ref="PEK1:PEN1"/>
    <mergeCell ref="PDA1:PDD1"/>
    <mergeCell ref="PDE1:PDH1"/>
    <mergeCell ref="PDI1:PDL1"/>
    <mergeCell ref="PDM1:PDP1"/>
    <mergeCell ref="PDQ1:PDT1"/>
    <mergeCell ref="PCG1:PCJ1"/>
    <mergeCell ref="PCK1:PCN1"/>
    <mergeCell ref="PCO1:PCR1"/>
    <mergeCell ref="PCS1:PCV1"/>
    <mergeCell ref="PCW1:PCZ1"/>
    <mergeCell ref="PBM1:PBP1"/>
    <mergeCell ref="PBQ1:PBT1"/>
    <mergeCell ref="PBU1:PBX1"/>
    <mergeCell ref="PBY1:PCB1"/>
    <mergeCell ref="PCC1:PCF1"/>
    <mergeCell ref="PAS1:PAV1"/>
    <mergeCell ref="PAW1:PAZ1"/>
    <mergeCell ref="PBA1:PBD1"/>
    <mergeCell ref="PBE1:PBH1"/>
    <mergeCell ref="PBI1:PBL1"/>
    <mergeCell ref="OZY1:PAB1"/>
    <mergeCell ref="PAC1:PAF1"/>
    <mergeCell ref="PAG1:PAJ1"/>
    <mergeCell ref="PAK1:PAN1"/>
    <mergeCell ref="PAO1:PAR1"/>
    <mergeCell ref="OZE1:OZH1"/>
    <mergeCell ref="OZI1:OZL1"/>
    <mergeCell ref="OZM1:OZP1"/>
    <mergeCell ref="OZQ1:OZT1"/>
    <mergeCell ref="OZU1:OZX1"/>
    <mergeCell ref="OYK1:OYN1"/>
    <mergeCell ref="OYO1:OYR1"/>
    <mergeCell ref="OYS1:OYV1"/>
    <mergeCell ref="OYW1:OYZ1"/>
    <mergeCell ref="OZA1:OZD1"/>
    <mergeCell ref="OXQ1:OXT1"/>
    <mergeCell ref="OXU1:OXX1"/>
    <mergeCell ref="OXY1:OYB1"/>
    <mergeCell ref="OYC1:OYF1"/>
    <mergeCell ref="OYG1:OYJ1"/>
    <mergeCell ref="OWW1:OWZ1"/>
    <mergeCell ref="OXA1:OXD1"/>
    <mergeCell ref="OXE1:OXH1"/>
    <mergeCell ref="OXI1:OXL1"/>
    <mergeCell ref="OXM1:OXP1"/>
    <mergeCell ref="OWC1:OWF1"/>
    <mergeCell ref="OWG1:OWJ1"/>
    <mergeCell ref="OWK1:OWN1"/>
    <mergeCell ref="OWO1:OWR1"/>
    <mergeCell ref="OWS1:OWV1"/>
    <mergeCell ref="OVI1:OVL1"/>
    <mergeCell ref="OVM1:OVP1"/>
    <mergeCell ref="OVQ1:OVT1"/>
    <mergeCell ref="OVU1:OVX1"/>
    <mergeCell ref="OVY1:OWB1"/>
    <mergeCell ref="OUO1:OUR1"/>
    <mergeCell ref="OUS1:OUV1"/>
    <mergeCell ref="OUW1:OUZ1"/>
    <mergeCell ref="OVA1:OVD1"/>
    <mergeCell ref="OVE1:OVH1"/>
    <mergeCell ref="OTU1:OTX1"/>
    <mergeCell ref="OTY1:OUB1"/>
    <mergeCell ref="OUC1:OUF1"/>
    <mergeCell ref="OUG1:OUJ1"/>
    <mergeCell ref="OUK1:OUN1"/>
    <mergeCell ref="OTA1:OTD1"/>
    <mergeCell ref="OTE1:OTH1"/>
    <mergeCell ref="OTI1:OTL1"/>
    <mergeCell ref="OTM1:OTP1"/>
    <mergeCell ref="OTQ1:OTT1"/>
    <mergeCell ref="OSG1:OSJ1"/>
    <mergeCell ref="OSK1:OSN1"/>
    <mergeCell ref="OSO1:OSR1"/>
    <mergeCell ref="OSS1:OSV1"/>
    <mergeCell ref="OSW1:OSZ1"/>
    <mergeCell ref="ORM1:ORP1"/>
    <mergeCell ref="ORQ1:ORT1"/>
    <mergeCell ref="ORU1:ORX1"/>
    <mergeCell ref="ORY1:OSB1"/>
    <mergeCell ref="OSC1:OSF1"/>
    <mergeCell ref="OQS1:OQV1"/>
    <mergeCell ref="OQW1:OQZ1"/>
    <mergeCell ref="ORA1:ORD1"/>
    <mergeCell ref="ORE1:ORH1"/>
    <mergeCell ref="ORI1:ORL1"/>
    <mergeCell ref="OPY1:OQB1"/>
    <mergeCell ref="OQC1:OQF1"/>
    <mergeCell ref="OQG1:OQJ1"/>
    <mergeCell ref="OQK1:OQN1"/>
    <mergeCell ref="OQO1:OQR1"/>
    <mergeCell ref="OPE1:OPH1"/>
    <mergeCell ref="OPI1:OPL1"/>
    <mergeCell ref="OPM1:OPP1"/>
    <mergeCell ref="OPQ1:OPT1"/>
    <mergeCell ref="OPU1:OPX1"/>
    <mergeCell ref="OOK1:OON1"/>
    <mergeCell ref="OOO1:OOR1"/>
    <mergeCell ref="OOS1:OOV1"/>
    <mergeCell ref="OOW1:OOZ1"/>
    <mergeCell ref="OPA1:OPD1"/>
    <mergeCell ref="ONQ1:ONT1"/>
    <mergeCell ref="ONU1:ONX1"/>
    <mergeCell ref="ONY1:OOB1"/>
    <mergeCell ref="OOC1:OOF1"/>
    <mergeCell ref="OOG1:OOJ1"/>
    <mergeCell ref="OMW1:OMZ1"/>
    <mergeCell ref="ONA1:OND1"/>
    <mergeCell ref="ONE1:ONH1"/>
    <mergeCell ref="ONI1:ONL1"/>
    <mergeCell ref="ONM1:ONP1"/>
    <mergeCell ref="OMC1:OMF1"/>
    <mergeCell ref="OMG1:OMJ1"/>
    <mergeCell ref="OMK1:OMN1"/>
    <mergeCell ref="OMO1:OMR1"/>
    <mergeCell ref="OMS1:OMV1"/>
    <mergeCell ref="OLI1:OLL1"/>
    <mergeCell ref="OLM1:OLP1"/>
    <mergeCell ref="OLQ1:OLT1"/>
    <mergeCell ref="OLU1:OLX1"/>
    <mergeCell ref="OLY1:OMB1"/>
    <mergeCell ref="OKO1:OKR1"/>
    <mergeCell ref="OKS1:OKV1"/>
    <mergeCell ref="OKW1:OKZ1"/>
    <mergeCell ref="OLA1:OLD1"/>
    <mergeCell ref="OLE1:OLH1"/>
    <mergeCell ref="OJU1:OJX1"/>
    <mergeCell ref="OJY1:OKB1"/>
    <mergeCell ref="OKC1:OKF1"/>
    <mergeCell ref="OKG1:OKJ1"/>
    <mergeCell ref="OKK1:OKN1"/>
    <mergeCell ref="OJA1:OJD1"/>
    <mergeCell ref="OJE1:OJH1"/>
    <mergeCell ref="OJI1:OJL1"/>
    <mergeCell ref="OJM1:OJP1"/>
    <mergeCell ref="OJQ1:OJT1"/>
    <mergeCell ref="OIG1:OIJ1"/>
    <mergeCell ref="OIK1:OIN1"/>
    <mergeCell ref="OIO1:OIR1"/>
    <mergeCell ref="OIS1:OIV1"/>
    <mergeCell ref="OIW1:OIZ1"/>
    <mergeCell ref="OHM1:OHP1"/>
    <mergeCell ref="OHQ1:OHT1"/>
    <mergeCell ref="OHU1:OHX1"/>
    <mergeCell ref="OHY1:OIB1"/>
    <mergeCell ref="OIC1:OIF1"/>
    <mergeCell ref="OGS1:OGV1"/>
    <mergeCell ref="OGW1:OGZ1"/>
    <mergeCell ref="OHA1:OHD1"/>
    <mergeCell ref="OHE1:OHH1"/>
    <mergeCell ref="OHI1:OHL1"/>
    <mergeCell ref="OFY1:OGB1"/>
    <mergeCell ref="OGC1:OGF1"/>
    <mergeCell ref="OGG1:OGJ1"/>
    <mergeCell ref="OGK1:OGN1"/>
    <mergeCell ref="OGO1:OGR1"/>
    <mergeCell ref="OFE1:OFH1"/>
    <mergeCell ref="OFI1:OFL1"/>
    <mergeCell ref="OFM1:OFP1"/>
    <mergeCell ref="OFQ1:OFT1"/>
    <mergeCell ref="OFU1:OFX1"/>
    <mergeCell ref="OEK1:OEN1"/>
    <mergeCell ref="OEO1:OER1"/>
    <mergeCell ref="OES1:OEV1"/>
    <mergeCell ref="OEW1:OEZ1"/>
    <mergeCell ref="OFA1:OFD1"/>
    <mergeCell ref="ODQ1:ODT1"/>
    <mergeCell ref="ODU1:ODX1"/>
    <mergeCell ref="ODY1:OEB1"/>
    <mergeCell ref="OEC1:OEF1"/>
    <mergeCell ref="OEG1:OEJ1"/>
    <mergeCell ref="OCW1:OCZ1"/>
    <mergeCell ref="ODA1:ODD1"/>
    <mergeCell ref="ODE1:ODH1"/>
    <mergeCell ref="ODI1:ODL1"/>
    <mergeCell ref="ODM1:ODP1"/>
    <mergeCell ref="OCC1:OCF1"/>
    <mergeCell ref="OCG1:OCJ1"/>
    <mergeCell ref="OCK1:OCN1"/>
    <mergeCell ref="OCO1:OCR1"/>
    <mergeCell ref="OCS1:OCV1"/>
    <mergeCell ref="OBI1:OBL1"/>
    <mergeCell ref="OBM1:OBP1"/>
    <mergeCell ref="OBQ1:OBT1"/>
    <mergeCell ref="OBU1:OBX1"/>
    <mergeCell ref="OBY1:OCB1"/>
    <mergeCell ref="OAO1:OAR1"/>
    <mergeCell ref="OAS1:OAV1"/>
    <mergeCell ref="OAW1:OAZ1"/>
    <mergeCell ref="OBA1:OBD1"/>
    <mergeCell ref="OBE1:OBH1"/>
    <mergeCell ref="NZU1:NZX1"/>
    <mergeCell ref="NZY1:OAB1"/>
    <mergeCell ref="OAC1:OAF1"/>
    <mergeCell ref="OAG1:OAJ1"/>
    <mergeCell ref="OAK1:OAN1"/>
    <mergeCell ref="NZA1:NZD1"/>
    <mergeCell ref="NZE1:NZH1"/>
    <mergeCell ref="NZI1:NZL1"/>
    <mergeCell ref="NZM1:NZP1"/>
    <mergeCell ref="NZQ1:NZT1"/>
    <mergeCell ref="NYG1:NYJ1"/>
    <mergeCell ref="NYK1:NYN1"/>
    <mergeCell ref="NYO1:NYR1"/>
    <mergeCell ref="NYS1:NYV1"/>
    <mergeCell ref="NYW1:NYZ1"/>
    <mergeCell ref="NXM1:NXP1"/>
    <mergeCell ref="NXQ1:NXT1"/>
    <mergeCell ref="NXU1:NXX1"/>
    <mergeCell ref="NXY1:NYB1"/>
    <mergeCell ref="NYC1:NYF1"/>
    <mergeCell ref="NWS1:NWV1"/>
    <mergeCell ref="NWW1:NWZ1"/>
    <mergeCell ref="NXA1:NXD1"/>
    <mergeCell ref="NXE1:NXH1"/>
    <mergeCell ref="NXI1:NXL1"/>
    <mergeCell ref="NVY1:NWB1"/>
    <mergeCell ref="NWC1:NWF1"/>
    <mergeCell ref="NWG1:NWJ1"/>
    <mergeCell ref="NWK1:NWN1"/>
    <mergeCell ref="NWO1:NWR1"/>
    <mergeCell ref="NVE1:NVH1"/>
    <mergeCell ref="NVI1:NVL1"/>
    <mergeCell ref="NVM1:NVP1"/>
    <mergeCell ref="NVQ1:NVT1"/>
    <mergeCell ref="NVU1:NVX1"/>
    <mergeCell ref="NUK1:NUN1"/>
    <mergeCell ref="NUO1:NUR1"/>
    <mergeCell ref="NUS1:NUV1"/>
    <mergeCell ref="NUW1:NUZ1"/>
    <mergeCell ref="NVA1:NVD1"/>
    <mergeCell ref="NTQ1:NTT1"/>
    <mergeCell ref="NTU1:NTX1"/>
    <mergeCell ref="NTY1:NUB1"/>
    <mergeCell ref="NUC1:NUF1"/>
    <mergeCell ref="NUG1:NUJ1"/>
    <mergeCell ref="NSW1:NSZ1"/>
    <mergeCell ref="NTA1:NTD1"/>
    <mergeCell ref="NTE1:NTH1"/>
    <mergeCell ref="NTI1:NTL1"/>
    <mergeCell ref="NTM1:NTP1"/>
    <mergeCell ref="NSC1:NSF1"/>
    <mergeCell ref="NSG1:NSJ1"/>
    <mergeCell ref="NSK1:NSN1"/>
    <mergeCell ref="NSO1:NSR1"/>
    <mergeCell ref="NSS1:NSV1"/>
    <mergeCell ref="NRI1:NRL1"/>
    <mergeCell ref="NRM1:NRP1"/>
    <mergeCell ref="NRQ1:NRT1"/>
    <mergeCell ref="NRU1:NRX1"/>
    <mergeCell ref="NRY1:NSB1"/>
    <mergeCell ref="NQO1:NQR1"/>
    <mergeCell ref="NQS1:NQV1"/>
    <mergeCell ref="NQW1:NQZ1"/>
    <mergeCell ref="NRA1:NRD1"/>
    <mergeCell ref="NRE1:NRH1"/>
    <mergeCell ref="NPU1:NPX1"/>
    <mergeCell ref="NPY1:NQB1"/>
    <mergeCell ref="NQC1:NQF1"/>
    <mergeCell ref="NQG1:NQJ1"/>
    <mergeCell ref="NQK1:NQN1"/>
    <mergeCell ref="NPA1:NPD1"/>
    <mergeCell ref="NPE1:NPH1"/>
    <mergeCell ref="NPI1:NPL1"/>
    <mergeCell ref="NPM1:NPP1"/>
    <mergeCell ref="NPQ1:NPT1"/>
    <mergeCell ref="NOG1:NOJ1"/>
    <mergeCell ref="NOK1:NON1"/>
    <mergeCell ref="NOO1:NOR1"/>
    <mergeCell ref="NOS1:NOV1"/>
    <mergeCell ref="NOW1:NOZ1"/>
    <mergeCell ref="NNM1:NNP1"/>
    <mergeCell ref="NNQ1:NNT1"/>
    <mergeCell ref="NNU1:NNX1"/>
    <mergeCell ref="NNY1:NOB1"/>
    <mergeCell ref="NOC1:NOF1"/>
    <mergeCell ref="NMS1:NMV1"/>
    <mergeCell ref="NMW1:NMZ1"/>
    <mergeCell ref="NNA1:NND1"/>
    <mergeCell ref="NNE1:NNH1"/>
    <mergeCell ref="NNI1:NNL1"/>
    <mergeCell ref="NLY1:NMB1"/>
    <mergeCell ref="NMC1:NMF1"/>
    <mergeCell ref="NMG1:NMJ1"/>
    <mergeCell ref="NMK1:NMN1"/>
    <mergeCell ref="NMO1:NMR1"/>
    <mergeCell ref="NLE1:NLH1"/>
    <mergeCell ref="NLI1:NLL1"/>
    <mergeCell ref="NLM1:NLP1"/>
    <mergeCell ref="NLQ1:NLT1"/>
    <mergeCell ref="NLU1:NLX1"/>
    <mergeCell ref="NKK1:NKN1"/>
    <mergeCell ref="NKO1:NKR1"/>
    <mergeCell ref="NKS1:NKV1"/>
    <mergeCell ref="NKW1:NKZ1"/>
    <mergeCell ref="NLA1:NLD1"/>
    <mergeCell ref="NJQ1:NJT1"/>
    <mergeCell ref="NJU1:NJX1"/>
    <mergeCell ref="NJY1:NKB1"/>
    <mergeCell ref="NKC1:NKF1"/>
    <mergeCell ref="NKG1:NKJ1"/>
    <mergeCell ref="NIW1:NIZ1"/>
    <mergeCell ref="NJA1:NJD1"/>
    <mergeCell ref="NJE1:NJH1"/>
    <mergeCell ref="NJI1:NJL1"/>
    <mergeCell ref="NJM1:NJP1"/>
    <mergeCell ref="NIC1:NIF1"/>
    <mergeCell ref="NIG1:NIJ1"/>
    <mergeCell ref="NIK1:NIN1"/>
    <mergeCell ref="NIO1:NIR1"/>
    <mergeCell ref="NIS1:NIV1"/>
    <mergeCell ref="NHI1:NHL1"/>
    <mergeCell ref="NHM1:NHP1"/>
    <mergeCell ref="NHQ1:NHT1"/>
    <mergeCell ref="NHU1:NHX1"/>
    <mergeCell ref="NHY1:NIB1"/>
    <mergeCell ref="NGO1:NGR1"/>
    <mergeCell ref="NGS1:NGV1"/>
    <mergeCell ref="NGW1:NGZ1"/>
    <mergeCell ref="NHA1:NHD1"/>
    <mergeCell ref="NHE1:NHH1"/>
    <mergeCell ref="NFU1:NFX1"/>
    <mergeCell ref="NFY1:NGB1"/>
    <mergeCell ref="NGC1:NGF1"/>
    <mergeCell ref="NGG1:NGJ1"/>
    <mergeCell ref="NGK1:NGN1"/>
    <mergeCell ref="NFA1:NFD1"/>
    <mergeCell ref="NFE1:NFH1"/>
    <mergeCell ref="NFI1:NFL1"/>
    <mergeCell ref="NFM1:NFP1"/>
    <mergeCell ref="NFQ1:NFT1"/>
    <mergeCell ref="NEG1:NEJ1"/>
    <mergeCell ref="NEK1:NEN1"/>
    <mergeCell ref="NEO1:NER1"/>
    <mergeCell ref="NES1:NEV1"/>
    <mergeCell ref="NEW1:NEZ1"/>
    <mergeCell ref="NDM1:NDP1"/>
    <mergeCell ref="NDQ1:NDT1"/>
    <mergeCell ref="NDU1:NDX1"/>
    <mergeCell ref="NDY1:NEB1"/>
    <mergeCell ref="NEC1:NEF1"/>
    <mergeCell ref="NCS1:NCV1"/>
    <mergeCell ref="NCW1:NCZ1"/>
    <mergeCell ref="NDA1:NDD1"/>
    <mergeCell ref="NDE1:NDH1"/>
    <mergeCell ref="NDI1:NDL1"/>
    <mergeCell ref="NBY1:NCB1"/>
    <mergeCell ref="NCC1:NCF1"/>
    <mergeCell ref="NCG1:NCJ1"/>
    <mergeCell ref="NCK1:NCN1"/>
    <mergeCell ref="NCO1:NCR1"/>
    <mergeCell ref="NBE1:NBH1"/>
    <mergeCell ref="NBI1:NBL1"/>
    <mergeCell ref="NBM1:NBP1"/>
    <mergeCell ref="NBQ1:NBT1"/>
    <mergeCell ref="NBU1:NBX1"/>
    <mergeCell ref="NAK1:NAN1"/>
    <mergeCell ref="NAO1:NAR1"/>
    <mergeCell ref="NAS1:NAV1"/>
    <mergeCell ref="NAW1:NAZ1"/>
    <mergeCell ref="NBA1:NBD1"/>
    <mergeCell ref="MZQ1:MZT1"/>
    <mergeCell ref="MZU1:MZX1"/>
    <mergeCell ref="MZY1:NAB1"/>
    <mergeCell ref="NAC1:NAF1"/>
    <mergeCell ref="NAG1:NAJ1"/>
    <mergeCell ref="MYW1:MYZ1"/>
    <mergeCell ref="MZA1:MZD1"/>
    <mergeCell ref="MZE1:MZH1"/>
    <mergeCell ref="MZI1:MZL1"/>
    <mergeCell ref="MZM1:MZP1"/>
    <mergeCell ref="MYC1:MYF1"/>
    <mergeCell ref="MYG1:MYJ1"/>
    <mergeCell ref="MYK1:MYN1"/>
    <mergeCell ref="MYO1:MYR1"/>
    <mergeCell ref="MYS1:MYV1"/>
    <mergeCell ref="MXI1:MXL1"/>
    <mergeCell ref="MXM1:MXP1"/>
    <mergeCell ref="MXQ1:MXT1"/>
    <mergeCell ref="MXU1:MXX1"/>
    <mergeCell ref="MXY1:MYB1"/>
    <mergeCell ref="MWO1:MWR1"/>
    <mergeCell ref="MWS1:MWV1"/>
    <mergeCell ref="MWW1:MWZ1"/>
    <mergeCell ref="MXA1:MXD1"/>
    <mergeCell ref="MXE1:MXH1"/>
    <mergeCell ref="MVU1:MVX1"/>
    <mergeCell ref="MVY1:MWB1"/>
    <mergeCell ref="MWC1:MWF1"/>
    <mergeCell ref="MWG1:MWJ1"/>
    <mergeCell ref="MWK1:MWN1"/>
    <mergeCell ref="MVA1:MVD1"/>
    <mergeCell ref="MVE1:MVH1"/>
    <mergeCell ref="MVI1:MVL1"/>
    <mergeCell ref="MVM1:MVP1"/>
    <mergeCell ref="MVQ1:MVT1"/>
    <mergeCell ref="MUG1:MUJ1"/>
    <mergeCell ref="MUK1:MUN1"/>
    <mergeCell ref="MUO1:MUR1"/>
    <mergeCell ref="MUS1:MUV1"/>
    <mergeCell ref="MUW1:MUZ1"/>
    <mergeCell ref="MTM1:MTP1"/>
    <mergeCell ref="MTQ1:MTT1"/>
    <mergeCell ref="MTU1:MTX1"/>
    <mergeCell ref="MTY1:MUB1"/>
    <mergeCell ref="MUC1:MUF1"/>
    <mergeCell ref="MSS1:MSV1"/>
    <mergeCell ref="MSW1:MSZ1"/>
    <mergeCell ref="MTA1:MTD1"/>
    <mergeCell ref="MTE1:MTH1"/>
    <mergeCell ref="MTI1:MTL1"/>
    <mergeCell ref="MRY1:MSB1"/>
    <mergeCell ref="MSC1:MSF1"/>
    <mergeCell ref="MSG1:MSJ1"/>
    <mergeCell ref="MSK1:MSN1"/>
    <mergeCell ref="MSO1:MSR1"/>
    <mergeCell ref="MRE1:MRH1"/>
    <mergeCell ref="MRI1:MRL1"/>
    <mergeCell ref="MRM1:MRP1"/>
    <mergeCell ref="MRQ1:MRT1"/>
    <mergeCell ref="MRU1:MRX1"/>
    <mergeCell ref="MQK1:MQN1"/>
    <mergeCell ref="MQO1:MQR1"/>
    <mergeCell ref="MQS1:MQV1"/>
    <mergeCell ref="MQW1:MQZ1"/>
    <mergeCell ref="MRA1:MRD1"/>
    <mergeCell ref="MPQ1:MPT1"/>
    <mergeCell ref="MPU1:MPX1"/>
    <mergeCell ref="MPY1:MQB1"/>
    <mergeCell ref="MQC1:MQF1"/>
    <mergeCell ref="MQG1:MQJ1"/>
    <mergeCell ref="MOW1:MOZ1"/>
    <mergeCell ref="MPA1:MPD1"/>
    <mergeCell ref="MPE1:MPH1"/>
    <mergeCell ref="MPI1:MPL1"/>
    <mergeCell ref="MPM1:MPP1"/>
    <mergeCell ref="MOC1:MOF1"/>
    <mergeCell ref="MOG1:MOJ1"/>
    <mergeCell ref="MOK1:MON1"/>
    <mergeCell ref="MOO1:MOR1"/>
    <mergeCell ref="MOS1:MOV1"/>
    <mergeCell ref="MNI1:MNL1"/>
    <mergeCell ref="MNM1:MNP1"/>
    <mergeCell ref="MNQ1:MNT1"/>
    <mergeCell ref="MNU1:MNX1"/>
    <mergeCell ref="MNY1:MOB1"/>
    <mergeCell ref="MMO1:MMR1"/>
    <mergeCell ref="MMS1:MMV1"/>
    <mergeCell ref="MMW1:MMZ1"/>
    <mergeCell ref="MNA1:MND1"/>
    <mergeCell ref="MNE1:MNH1"/>
    <mergeCell ref="MLU1:MLX1"/>
    <mergeCell ref="MLY1:MMB1"/>
    <mergeCell ref="MMC1:MMF1"/>
    <mergeCell ref="MMG1:MMJ1"/>
    <mergeCell ref="MMK1:MMN1"/>
    <mergeCell ref="MLA1:MLD1"/>
    <mergeCell ref="MLE1:MLH1"/>
    <mergeCell ref="MLI1:MLL1"/>
    <mergeCell ref="MLM1:MLP1"/>
    <mergeCell ref="MLQ1:MLT1"/>
    <mergeCell ref="MKG1:MKJ1"/>
    <mergeCell ref="MKK1:MKN1"/>
    <mergeCell ref="MKO1:MKR1"/>
    <mergeCell ref="MKS1:MKV1"/>
    <mergeCell ref="MKW1:MKZ1"/>
    <mergeCell ref="MJM1:MJP1"/>
    <mergeCell ref="MJQ1:MJT1"/>
    <mergeCell ref="MJU1:MJX1"/>
    <mergeCell ref="MJY1:MKB1"/>
    <mergeCell ref="MKC1:MKF1"/>
    <mergeCell ref="MIS1:MIV1"/>
    <mergeCell ref="MIW1:MIZ1"/>
    <mergeCell ref="MJA1:MJD1"/>
    <mergeCell ref="MJE1:MJH1"/>
    <mergeCell ref="MJI1:MJL1"/>
    <mergeCell ref="MHY1:MIB1"/>
    <mergeCell ref="MIC1:MIF1"/>
    <mergeCell ref="MIG1:MIJ1"/>
    <mergeCell ref="MIK1:MIN1"/>
    <mergeCell ref="MIO1:MIR1"/>
    <mergeCell ref="MHE1:MHH1"/>
    <mergeCell ref="MHI1:MHL1"/>
    <mergeCell ref="MHM1:MHP1"/>
    <mergeCell ref="MHQ1:MHT1"/>
    <mergeCell ref="MHU1:MHX1"/>
    <mergeCell ref="MGK1:MGN1"/>
    <mergeCell ref="MGO1:MGR1"/>
    <mergeCell ref="MGS1:MGV1"/>
    <mergeCell ref="MGW1:MGZ1"/>
    <mergeCell ref="MHA1:MHD1"/>
    <mergeCell ref="MFQ1:MFT1"/>
    <mergeCell ref="MFU1:MFX1"/>
    <mergeCell ref="MFY1:MGB1"/>
    <mergeCell ref="MGC1:MGF1"/>
    <mergeCell ref="MGG1:MGJ1"/>
    <mergeCell ref="MEW1:MEZ1"/>
    <mergeCell ref="MFA1:MFD1"/>
    <mergeCell ref="MFE1:MFH1"/>
    <mergeCell ref="MFI1:MFL1"/>
    <mergeCell ref="MFM1:MFP1"/>
    <mergeCell ref="MEC1:MEF1"/>
    <mergeCell ref="MEG1:MEJ1"/>
    <mergeCell ref="MEK1:MEN1"/>
    <mergeCell ref="MEO1:MER1"/>
    <mergeCell ref="MES1:MEV1"/>
    <mergeCell ref="MDI1:MDL1"/>
    <mergeCell ref="MDM1:MDP1"/>
    <mergeCell ref="MDQ1:MDT1"/>
    <mergeCell ref="MDU1:MDX1"/>
    <mergeCell ref="MDY1:MEB1"/>
    <mergeCell ref="MCO1:MCR1"/>
    <mergeCell ref="MCS1:MCV1"/>
    <mergeCell ref="MCW1:MCZ1"/>
    <mergeCell ref="MDA1:MDD1"/>
    <mergeCell ref="MDE1:MDH1"/>
    <mergeCell ref="MBU1:MBX1"/>
    <mergeCell ref="MBY1:MCB1"/>
    <mergeCell ref="MCC1:MCF1"/>
    <mergeCell ref="MCG1:MCJ1"/>
    <mergeCell ref="MCK1:MCN1"/>
    <mergeCell ref="MBA1:MBD1"/>
    <mergeCell ref="MBE1:MBH1"/>
    <mergeCell ref="MBI1:MBL1"/>
    <mergeCell ref="MBM1:MBP1"/>
    <mergeCell ref="MBQ1:MBT1"/>
    <mergeCell ref="MAG1:MAJ1"/>
    <mergeCell ref="MAK1:MAN1"/>
    <mergeCell ref="MAO1:MAR1"/>
    <mergeCell ref="MAS1:MAV1"/>
    <mergeCell ref="MAW1:MAZ1"/>
    <mergeCell ref="LZM1:LZP1"/>
    <mergeCell ref="LZQ1:LZT1"/>
    <mergeCell ref="LZU1:LZX1"/>
    <mergeCell ref="LZY1:MAB1"/>
    <mergeCell ref="MAC1:MAF1"/>
    <mergeCell ref="LYS1:LYV1"/>
    <mergeCell ref="LYW1:LYZ1"/>
    <mergeCell ref="LZA1:LZD1"/>
    <mergeCell ref="LZE1:LZH1"/>
    <mergeCell ref="LZI1:LZL1"/>
    <mergeCell ref="LXY1:LYB1"/>
    <mergeCell ref="LYC1:LYF1"/>
    <mergeCell ref="LYG1:LYJ1"/>
    <mergeCell ref="LYK1:LYN1"/>
    <mergeCell ref="LYO1:LYR1"/>
    <mergeCell ref="LXE1:LXH1"/>
    <mergeCell ref="LXI1:LXL1"/>
    <mergeCell ref="LXM1:LXP1"/>
    <mergeCell ref="LXQ1:LXT1"/>
    <mergeCell ref="LXU1:LXX1"/>
    <mergeCell ref="LWK1:LWN1"/>
    <mergeCell ref="LWO1:LWR1"/>
    <mergeCell ref="LWS1:LWV1"/>
    <mergeCell ref="LWW1:LWZ1"/>
    <mergeCell ref="LXA1:LXD1"/>
    <mergeCell ref="LVQ1:LVT1"/>
    <mergeCell ref="LVU1:LVX1"/>
    <mergeCell ref="LVY1:LWB1"/>
    <mergeCell ref="LWC1:LWF1"/>
    <mergeCell ref="LWG1:LWJ1"/>
    <mergeCell ref="LUW1:LUZ1"/>
    <mergeCell ref="LVA1:LVD1"/>
    <mergeCell ref="LVE1:LVH1"/>
    <mergeCell ref="LVI1:LVL1"/>
    <mergeCell ref="LVM1:LVP1"/>
    <mergeCell ref="LUC1:LUF1"/>
    <mergeCell ref="LUG1:LUJ1"/>
    <mergeCell ref="LUK1:LUN1"/>
    <mergeCell ref="LUO1:LUR1"/>
    <mergeCell ref="LUS1:LUV1"/>
    <mergeCell ref="LTI1:LTL1"/>
    <mergeCell ref="LTM1:LTP1"/>
    <mergeCell ref="LTQ1:LTT1"/>
    <mergeCell ref="LTU1:LTX1"/>
    <mergeCell ref="LTY1:LUB1"/>
    <mergeCell ref="LSO1:LSR1"/>
    <mergeCell ref="LSS1:LSV1"/>
    <mergeCell ref="LSW1:LSZ1"/>
    <mergeCell ref="LTA1:LTD1"/>
    <mergeCell ref="LTE1:LTH1"/>
    <mergeCell ref="LRU1:LRX1"/>
    <mergeCell ref="LRY1:LSB1"/>
    <mergeCell ref="LSC1:LSF1"/>
    <mergeCell ref="LSG1:LSJ1"/>
    <mergeCell ref="LSK1:LSN1"/>
    <mergeCell ref="LRA1:LRD1"/>
    <mergeCell ref="LRE1:LRH1"/>
    <mergeCell ref="LRI1:LRL1"/>
    <mergeCell ref="LRM1:LRP1"/>
    <mergeCell ref="LRQ1:LRT1"/>
    <mergeCell ref="LQG1:LQJ1"/>
    <mergeCell ref="LQK1:LQN1"/>
    <mergeCell ref="LQO1:LQR1"/>
    <mergeCell ref="LQS1:LQV1"/>
    <mergeCell ref="LQW1:LQZ1"/>
    <mergeCell ref="LPM1:LPP1"/>
    <mergeCell ref="LPQ1:LPT1"/>
    <mergeCell ref="LPU1:LPX1"/>
    <mergeCell ref="LPY1:LQB1"/>
    <mergeCell ref="LQC1:LQF1"/>
    <mergeCell ref="LOS1:LOV1"/>
    <mergeCell ref="LOW1:LOZ1"/>
    <mergeCell ref="LPA1:LPD1"/>
    <mergeCell ref="LPE1:LPH1"/>
    <mergeCell ref="LPI1:LPL1"/>
    <mergeCell ref="LNY1:LOB1"/>
    <mergeCell ref="LOC1:LOF1"/>
    <mergeCell ref="LOG1:LOJ1"/>
    <mergeCell ref="LOK1:LON1"/>
    <mergeCell ref="LOO1:LOR1"/>
    <mergeCell ref="LNE1:LNH1"/>
    <mergeCell ref="LNI1:LNL1"/>
    <mergeCell ref="LNM1:LNP1"/>
    <mergeCell ref="LNQ1:LNT1"/>
    <mergeCell ref="LNU1:LNX1"/>
    <mergeCell ref="LMK1:LMN1"/>
    <mergeCell ref="LMO1:LMR1"/>
    <mergeCell ref="LMS1:LMV1"/>
    <mergeCell ref="LMW1:LMZ1"/>
    <mergeCell ref="LNA1:LND1"/>
    <mergeCell ref="LLQ1:LLT1"/>
    <mergeCell ref="LLU1:LLX1"/>
    <mergeCell ref="LLY1:LMB1"/>
    <mergeCell ref="LMC1:LMF1"/>
    <mergeCell ref="LMG1:LMJ1"/>
    <mergeCell ref="LKW1:LKZ1"/>
    <mergeCell ref="LLA1:LLD1"/>
    <mergeCell ref="LLE1:LLH1"/>
    <mergeCell ref="LLI1:LLL1"/>
    <mergeCell ref="LLM1:LLP1"/>
    <mergeCell ref="LKC1:LKF1"/>
    <mergeCell ref="LKG1:LKJ1"/>
    <mergeCell ref="LKK1:LKN1"/>
    <mergeCell ref="LKO1:LKR1"/>
    <mergeCell ref="LKS1:LKV1"/>
    <mergeCell ref="LJI1:LJL1"/>
    <mergeCell ref="LJM1:LJP1"/>
    <mergeCell ref="LJQ1:LJT1"/>
    <mergeCell ref="LJU1:LJX1"/>
    <mergeCell ref="LJY1:LKB1"/>
    <mergeCell ref="LIO1:LIR1"/>
    <mergeCell ref="LIS1:LIV1"/>
    <mergeCell ref="LIW1:LIZ1"/>
    <mergeCell ref="LJA1:LJD1"/>
    <mergeCell ref="LJE1:LJH1"/>
    <mergeCell ref="LHU1:LHX1"/>
    <mergeCell ref="LHY1:LIB1"/>
    <mergeCell ref="LIC1:LIF1"/>
    <mergeCell ref="LIG1:LIJ1"/>
    <mergeCell ref="LIK1:LIN1"/>
    <mergeCell ref="LHA1:LHD1"/>
    <mergeCell ref="LHE1:LHH1"/>
    <mergeCell ref="LHI1:LHL1"/>
    <mergeCell ref="LHM1:LHP1"/>
    <mergeCell ref="LHQ1:LHT1"/>
    <mergeCell ref="LGG1:LGJ1"/>
    <mergeCell ref="LGK1:LGN1"/>
    <mergeCell ref="LGO1:LGR1"/>
    <mergeCell ref="LGS1:LGV1"/>
    <mergeCell ref="LGW1:LGZ1"/>
    <mergeCell ref="LFM1:LFP1"/>
    <mergeCell ref="LFQ1:LFT1"/>
    <mergeCell ref="LFU1:LFX1"/>
    <mergeCell ref="LFY1:LGB1"/>
    <mergeCell ref="LGC1:LGF1"/>
    <mergeCell ref="LES1:LEV1"/>
    <mergeCell ref="LEW1:LEZ1"/>
    <mergeCell ref="LFA1:LFD1"/>
    <mergeCell ref="LFE1:LFH1"/>
    <mergeCell ref="LFI1:LFL1"/>
    <mergeCell ref="LDY1:LEB1"/>
    <mergeCell ref="LEC1:LEF1"/>
    <mergeCell ref="LEG1:LEJ1"/>
    <mergeCell ref="LEK1:LEN1"/>
    <mergeCell ref="LEO1:LER1"/>
    <mergeCell ref="LDE1:LDH1"/>
    <mergeCell ref="LDI1:LDL1"/>
    <mergeCell ref="LDM1:LDP1"/>
    <mergeCell ref="LDQ1:LDT1"/>
    <mergeCell ref="LDU1:LDX1"/>
    <mergeCell ref="LCK1:LCN1"/>
    <mergeCell ref="LCO1:LCR1"/>
    <mergeCell ref="LCS1:LCV1"/>
    <mergeCell ref="LCW1:LCZ1"/>
    <mergeCell ref="LDA1:LDD1"/>
    <mergeCell ref="LBQ1:LBT1"/>
    <mergeCell ref="LBU1:LBX1"/>
    <mergeCell ref="LBY1:LCB1"/>
    <mergeCell ref="LCC1:LCF1"/>
    <mergeCell ref="LCG1:LCJ1"/>
    <mergeCell ref="LAW1:LAZ1"/>
    <mergeCell ref="LBA1:LBD1"/>
    <mergeCell ref="LBE1:LBH1"/>
    <mergeCell ref="LBI1:LBL1"/>
    <mergeCell ref="LBM1:LBP1"/>
    <mergeCell ref="LAC1:LAF1"/>
    <mergeCell ref="LAG1:LAJ1"/>
    <mergeCell ref="LAK1:LAN1"/>
    <mergeCell ref="LAO1:LAR1"/>
    <mergeCell ref="LAS1:LAV1"/>
    <mergeCell ref="KZI1:KZL1"/>
    <mergeCell ref="KZM1:KZP1"/>
    <mergeCell ref="KZQ1:KZT1"/>
    <mergeCell ref="KZU1:KZX1"/>
    <mergeCell ref="KZY1:LAB1"/>
    <mergeCell ref="KYO1:KYR1"/>
    <mergeCell ref="KYS1:KYV1"/>
    <mergeCell ref="KYW1:KYZ1"/>
    <mergeCell ref="KZA1:KZD1"/>
    <mergeCell ref="KZE1:KZH1"/>
    <mergeCell ref="KXU1:KXX1"/>
    <mergeCell ref="KXY1:KYB1"/>
    <mergeCell ref="KYC1:KYF1"/>
    <mergeCell ref="KYG1:KYJ1"/>
    <mergeCell ref="KYK1:KYN1"/>
    <mergeCell ref="KXA1:KXD1"/>
    <mergeCell ref="KXE1:KXH1"/>
    <mergeCell ref="KXI1:KXL1"/>
    <mergeCell ref="KXM1:KXP1"/>
    <mergeCell ref="KXQ1:KXT1"/>
    <mergeCell ref="KWG1:KWJ1"/>
    <mergeCell ref="KWK1:KWN1"/>
    <mergeCell ref="KWO1:KWR1"/>
    <mergeCell ref="KWS1:KWV1"/>
    <mergeCell ref="KWW1:KWZ1"/>
    <mergeCell ref="KVM1:KVP1"/>
    <mergeCell ref="KVQ1:KVT1"/>
    <mergeCell ref="KVU1:KVX1"/>
    <mergeCell ref="KVY1:KWB1"/>
    <mergeCell ref="KWC1:KWF1"/>
    <mergeCell ref="KUS1:KUV1"/>
    <mergeCell ref="KUW1:KUZ1"/>
    <mergeCell ref="KVA1:KVD1"/>
    <mergeCell ref="KVE1:KVH1"/>
    <mergeCell ref="KVI1:KVL1"/>
    <mergeCell ref="KTY1:KUB1"/>
    <mergeCell ref="KUC1:KUF1"/>
    <mergeCell ref="KUG1:KUJ1"/>
    <mergeCell ref="KUK1:KUN1"/>
    <mergeCell ref="KUO1:KUR1"/>
    <mergeCell ref="KTE1:KTH1"/>
    <mergeCell ref="KTI1:KTL1"/>
    <mergeCell ref="KTM1:KTP1"/>
    <mergeCell ref="KTQ1:KTT1"/>
    <mergeCell ref="KTU1:KTX1"/>
    <mergeCell ref="KSK1:KSN1"/>
    <mergeCell ref="KSO1:KSR1"/>
    <mergeCell ref="KSS1:KSV1"/>
    <mergeCell ref="KSW1:KSZ1"/>
    <mergeCell ref="KTA1:KTD1"/>
    <mergeCell ref="KRQ1:KRT1"/>
    <mergeCell ref="KRU1:KRX1"/>
    <mergeCell ref="KRY1:KSB1"/>
    <mergeCell ref="KSC1:KSF1"/>
    <mergeCell ref="KSG1:KSJ1"/>
    <mergeCell ref="KQW1:KQZ1"/>
    <mergeCell ref="KRA1:KRD1"/>
    <mergeCell ref="KRE1:KRH1"/>
    <mergeCell ref="KRI1:KRL1"/>
    <mergeCell ref="KRM1:KRP1"/>
    <mergeCell ref="KQC1:KQF1"/>
    <mergeCell ref="KQG1:KQJ1"/>
    <mergeCell ref="KQK1:KQN1"/>
    <mergeCell ref="KQO1:KQR1"/>
    <mergeCell ref="KQS1:KQV1"/>
    <mergeCell ref="KPI1:KPL1"/>
    <mergeCell ref="KPM1:KPP1"/>
    <mergeCell ref="KPQ1:KPT1"/>
    <mergeCell ref="KPU1:KPX1"/>
    <mergeCell ref="KPY1:KQB1"/>
    <mergeCell ref="KOO1:KOR1"/>
    <mergeCell ref="KOS1:KOV1"/>
    <mergeCell ref="KOW1:KOZ1"/>
    <mergeCell ref="KPA1:KPD1"/>
    <mergeCell ref="KPE1:KPH1"/>
    <mergeCell ref="KNU1:KNX1"/>
    <mergeCell ref="KNY1:KOB1"/>
    <mergeCell ref="KOC1:KOF1"/>
    <mergeCell ref="KOG1:KOJ1"/>
    <mergeCell ref="KOK1:KON1"/>
    <mergeCell ref="KNA1:KND1"/>
    <mergeCell ref="KNE1:KNH1"/>
    <mergeCell ref="KNI1:KNL1"/>
    <mergeCell ref="KNM1:KNP1"/>
    <mergeCell ref="KNQ1:KNT1"/>
    <mergeCell ref="KMG1:KMJ1"/>
    <mergeCell ref="KMK1:KMN1"/>
    <mergeCell ref="KMO1:KMR1"/>
    <mergeCell ref="KMS1:KMV1"/>
    <mergeCell ref="KMW1:KMZ1"/>
    <mergeCell ref="KLM1:KLP1"/>
    <mergeCell ref="KLQ1:KLT1"/>
    <mergeCell ref="KLU1:KLX1"/>
    <mergeCell ref="KLY1:KMB1"/>
    <mergeCell ref="KMC1:KMF1"/>
    <mergeCell ref="KKS1:KKV1"/>
    <mergeCell ref="KKW1:KKZ1"/>
    <mergeCell ref="KLA1:KLD1"/>
    <mergeCell ref="KLE1:KLH1"/>
    <mergeCell ref="KLI1:KLL1"/>
    <mergeCell ref="KJY1:KKB1"/>
    <mergeCell ref="KKC1:KKF1"/>
    <mergeCell ref="KKG1:KKJ1"/>
    <mergeCell ref="KKK1:KKN1"/>
    <mergeCell ref="KKO1:KKR1"/>
    <mergeCell ref="KJE1:KJH1"/>
    <mergeCell ref="KJI1:KJL1"/>
    <mergeCell ref="KJM1:KJP1"/>
    <mergeCell ref="KJQ1:KJT1"/>
    <mergeCell ref="KJU1:KJX1"/>
    <mergeCell ref="KIK1:KIN1"/>
    <mergeCell ref="KIO1:KIR1"/>
    <mergeCell ref="KIS1:KIV1"/>
    <mergeCell ref="KIW1:KIZ1"/>
    <mergeCell ref="KJA1:KJD1"/>
    <mergeCell ref="KHQ1:KHT1"/>
    <mergeCell ref="KHU1:KHX1"/>
    <mergeCell ref="KHY1:KIB1"/>
    <mergeCell ref="KIC1:KIF1"/>
    <mergeCell ref="KIG1:KIJ1"/>
    <mergeCell ref="KGW1:KGZ1"/>
    <mergeCell ref="KHA1:KHD1"/>
    <mergeCell ref="KHE1:KHH1"/>
    <mergeCell ref="KHI1:KHL1"/>
    <mergeCell ref="KHM1:KHP1"/>
    <mergeCell ref="KGC1:KGF1"/>
    <mergeCell ref="KGG1:KGJ1"/>
    <mergeCell ref="KGK1:KGN1"/>
    <mergeCell ref="KGO1:KGR1"/>
    <mergeCell ref="KGS1:KGV1"/>
    <mergeCell ref="KFI1:KFL1"/>
    <mergeCell ref="KFM1:KFP1"/>
    <mergeCell ref="KFQ1:KFT1"/>
    <mergeCell ref="KFU1:KFX1"/>
    <mergeCell ref="KFY1:KGB1"/>
    <mergeCell ref="KEO1:KER1"/>
    <mergeCell ref="KES1:KEV1"/>
    <mergeCell ref="KEW1:KEZ1"/>
    <mergeCell ref="KFA1:KFD1"/>
    <mergeCell ref="KFE1:KFH1"/>
    <mergeCell ref="KDU1:KDX1"/>
    <mergeCell ref="KDY1:KEB1"/>
    <mergeCell ref="KEC1:KEF1"/>
    <mergeCell ref="KEG1:KEJ1"/>
    <mergeCell ref="KEK1:KEN1"/>
    <mergeCell ref="KDA1:KDD1"/>
    <mergeCell ref="KDE1:KDH1"/>
    <mergeCell ref="KDI1:KDL1"/>
    <mergeCell ref="KDM1:KDP1"/>
    <mergeCell ref="KDQ1:KDT1"/>
    <mergeCell ref="KCG1:KCJ1"/>
    <mergeCell ref="KCK1:KCN1"/>
    <mergeCell ref="KCO1:KCR1"/>
    <mergeCell ref="KCS1:KCV1"/>
    <mergeCell ref="KCW1:KCZ1"/>
    <mergeCell ref="KBM1:KBP1"/>
    <mergeCell ref="KBQ1:KBT1"/>
    <mergeCell ref="KBU1:KBX1"/>
    <mergeCell ref="KBY1:KCB1"/>
    <mergeCell ref="KCC1:KCF1"/>
    <mergeCell ref="KAS1:KAV1"/>
    <mergeCell ref="KAW1:KAZ1"/>
    <mergeCell ref="KBA1:KBD1"/>
    <mergeCell ref="KBE1:KBH1"/>
    <mergeCell ref="KBI1:KBL1"/>
    <mergeCell ref="JZY1:KAB1"/>
    <mergeCell ref="KAC1:KAF1"/>
    <mergeCell ref="KAG1:KAJ1"/>
    <mergeCell ref="KAK1:KAN1"/>
    <mergeCell ref="KAO1:KAR1"/>
    <mergeCell ref="JZE1:JZH1"/>
    <mergeCell ref="JZI1:JZL1"/>
    <mergeCell ref="JZM1:JZP1"/>
    <mergeCell ref="JZQ1:JZT1"/>
    <mergeCell ref="JZU1:JZX1"/>
    <mergeCell ref="JYK1:JYN1"/>
    <mergeCell ref="JYO1:JYR1"/>
    <mergeCell ref="JYS1:JYV1"/>
    <mergeCell ref="JYW1:JYZ1"/>
    <mergeCell ref="JZA1:JZD1"/>
    <mergeCell ref="JXQ1:JXT1"/>
    <mergeCell ref="JXU1:JXX1"/>
    <mergeCell ref="JXY1:JYB1"/>
    <mergeCell ref="JYC1:JYF1"/>
    <mergeCell ref="JYG1:JYJ1"/>
    <mergeCell ref="JWW1:JWZ1"/>
    <mergeCell ref="JXA1:JXD1"/>
    <mergeCell ref="JXE1:JXH1"/>
    <mergeCell ref="JXI1:JXL1"/>
    <mergeCell ref="JXM1:JXP1"/>
    <mergeCell ref="JWC1:JWF1"/>
    <mergeCell ref="JWG1:JWJ1"/>
    <mergeCell ref="JWK1:JWN1"/>
    <mergeCell ref="JWO1:JWR1"/>
    <mergeCell ref="JWS1:JWV1"/>
    <mergeCell ref="JVI1:JVL1"/>
    <mergeCell ref="JVM1:JVP1"/>
    <mergeCell ref="JVQ1:JVT1"/>
    <mergeCell ref="JVU1:JVX1"/>
    <mergeCell ref="JVY1:JWB1"/>
    <mergeCell ref="JUO1:JUR1"/>
    <mergeCell ref="JUS1:JUV1"/>
    <mergeCell ref="JUW1:JUZ1"/>
    <mergeCell ref="JVA1:JVD1"/>
    <mergeCell ref="JVE1:JVH1"/>
    <mergeCell ref="JTU1:JTX1"/>
    <mergeCell ref="JTY1:JUB1"/>
    <mergeCell ref="JUC1:JUF1"/>
    <mergeCell ref="JUG1:JUJ1"/>
    <mergeCell ref="JUK1:JUN1"/>
    <mergeCell ref="JTA1:JTD1"/>
    <mergeCell ref="JTE1:JTH1"/>
    <mergeCell ref="JTI1:JTL1"/>
    <mergeCell ref="JTM1:JTP1"/>
    <mergeCell ref="JTQ1:JTT1"/>
    <mergeCell ref="JSG1:JSJ1"/>
    <mergeCell ref="JSK1:JSN1"/>
    <mergeCell ref="JSO1:JSR1"/>
    <mergeCell ref="JSS1:JSV1"/>
    <mergeCell ref="JSW1:JSZ1"/>
    <mergeCell ref="JRM1:JRP1"/>
    <mergeCell ref="JRQ1:JRT1"/>
    <mergeCell ref="JRU1:JRX1"/>
    <mergeCell ref="JRY1:JSB1"/>
    <mergeCell ref="JSC1:JSF1"/>
    <mergeCell ref="JQS1:JQV1"/>
    <mergeCell ref="JQW1:JQZ1"/>
    <mergeCell ref="JRA1:JRD1"/>
    <mergeCell ref="JRE1:JRH1"/>
    <mergeCell ref="JRI1:JRL1"/>
    <mergeCell ref="JPY1:JQB1"/>
    <mergeCell ref="JQC1:JQF1"/>
    <mergeCell ref="JQG1:JQJ1"/>
    <mergeCell ref="JQK1:JQN1"/>
    <mergeCell ref="JQO1:JQR1"/>
    <mergeCell ref="JPE1:JPH1"/>
    <mergeCell ref="JPI1:JPL1"/>
    <mergeCell ref="JPM1:JPP1"/>
    <mergeCell ref="JPQ1:JPT1"/>
    <mergeCell ref="JPU1:JPX1"/>
    <mergeCell ref="JOK1:JON1"/>
    <mergeCell ref="JOO1:JOR1"/>
    <mergeCell ref="JOS1:JOV1"/>
    <mergeCell ref="JOW1:JOZ1"/>
    <mergeCell ref="JPA1:JPD1"/>
    <mergeCell ref="JNQ1:JNT1"/>
    <mergeCell ref="JNU1:JNX1"/>
    <mergeCell ref="JNY1:JOB1"/>
    <mergeCell ref="JOC1:JOF1"/>
    <mergeCell ref="JOG1:JOJ1"/>
    <mergeCell ref="JMW1:JMZ1"/>
    <mergeCell ref="JNA1:JND1"/>
    <mergeCell ref="JNE1:JNH1"/>
    <mergeCell ref="JNI1:JNL1"/>
    <mergeCell ref="JNM1:JNP1"/>
    <mergeCell ref="JMC1:JMF1"/>
    <mergeCell ref="JMG1:JMJ1"/>
    <mergeCell ref="JMK1:JMN1"/>
    <mergeCell ref="JMO1:JMR1"/>
    <mergeCell ref="JMS1:JMV1"/>
    <mergeCell ref="JLI1:JLL1"/>
    <mergeCell ref="JLM1:JLP1"/>
    <mergeCell ref="JLQ1:JLT1"/>
    <mergeCell ref="JLU1:JLX1"/>
    <mergeCell ref="JLY1:JMB1"/>
    <mergeCell ref="JKO1:JKR1"/>
    <mergeCell ref="JKS1:JKV1"/>
    <mergeCell ref="JKW1:JKZ1"/>
    <mergeCell ref="JLA1:JLD1"/>
    <mergeCell ref="JLE1:JLH1"/>
    <mergeCell ref="JJU1:JJX1"/>
    <mergeCell ref="JJY1:JKB1"/>
    <mergeCell ref="JKC1:JKF1"/>
    <mergeCell ref="JKG1:JKJ1"/>
    <mergeCell ref="JKK1:JKN1"/>
    <mergeCell ref="JJA1:JJD1"/>
    <mergeCell ref="JJE1:JJH1"/>
    <mergeCell ref="JJI1:JJL1"/>
    <mergeCell ref="JJM1:JJP1"/>
    <mergeCell ref="JJQ1:JJT1"/>
    <mergeCell ref="JIG1:JIJ1"/>
    <mergeCell ref="JIK1:JIN1"/>
    <mergeCell ref="JIO1:JIR1"/>
    <mergeCell ref="JIS1:JIV1"/>
    <mergeCell ref="JIW1:JIZ1"/>
    <mergeCell ref="JHM1:JHP1"/>
    <mergeCell ref="JHQ1:JHT1"/>
    <mergeCell ref="JHU1:JHX1"/>
    <mergeCell ref="JHY1:JIB1"/>
    <mergeCell ref="JIC1:JIF1"/>
    <mergeCell ref="JGS1:JGV1"/>
    <mergeCell ref="JGW1:JGZ1"/>
    <mergeCell ref="JHA1:JHD1"/>
    <mergeCell ref="JHE1:JHH1"/>
    <mergeCell ref="JHI1:JHL1"/>
    <mergeCell ref="JFY1:JGB1"/>
    <mergeCell ref="JGC1:JGF1"/>
    <mergeCell ref="JGG1:JGJ1"/>
    <mergeCell ref="JGK1:JGN1"/>
    <mergeCell ref="JGO1:JGR1"/>
    <mergeCell ref="JFE1:JFH1"/>
    <mergeCell ref="JFI1:JFL1"/>
    <mergeCell ref="JFM1:JFP1"/>
    <mergeCell ref="JFQ1:JFT1"/>
    <mergeCell ref="JFU1:JFX1"/>
    <mergeCell ref="JEK1:JEN1"/>
    <mergeCell ref="JEO1:JER1"/>
    <mergeCell ref="JES1:JEV1"/>
    <mergeCell ref="JEW1:JEZ1"/>
    <mergeCell ref="JFA1:JFD1"/>
    <mergeCell ref="JDQ1:JDT1"/>
    <mergeCell ref="JDU1:JDX1"/>
    <mergeCell ref="JDY1:JEB1"/>
    <mergeCell ref="JEC1:JEF1"/>
    <mergeCell ref="JEG1:JEJ1"/>
    <mergeCell ref="JCW1:JCZ1"/>
    <mergeCell ref="JDA1:JDD1"/>
    <mergeCell ref="JDE1:JDH1"/>
    <mergeCell ref="JDI1:JDL1"/>
    <mergeCell ref="JDM1:JDP1"/>
    <mergeCell ref="JCC1:JCF1"/>
    <mergeCell ref="JCG1:JCJ1"/>
    <mergeCell ref="JCK1:JCN1"/>
    <mergeCell ref="JCO1:JCR1"/>
    <mergeCell ref="JCS1:JCV1"/>
    <mergeCell ref="JBI1:JBL1"/>
    <mergeCell ref="JBM1:JBP1"/>
    <mergeCell ref="JBQ1:JBT1"/>
    <mergeCell ref="JBU1:JBX1"/>
    <mergeCell ref="JBY1:JCB1"/>
    <mergeCell ref="JAO1:JAR1"/>
    <mergeCell ref="JAS1:JAV1"/>
    <mergeCell ref="JAW1:JAZ1"/>
    <mergeCell ref="JBA1:JBD1"/>
    <mergeCell ref="JBE1:JBH1"/>
    <mergeCell ref="IZU1:IZX1"/>
    <mergeCell ref="IZY1:JAB1"/>
    <mergeCell ref="JAC1:JAF1"/>
    <mergeCell ref="JAG1:JAJ1"/>
    <mergeCell ref="JAK1:JAN1"/>
    <mergeCell ref="IZA1:IZD1"/>
    <mergeCell ref="IZE1:IZH1"/>
    <mergeCell ref="IZI1:IZL1"/>
    <mergeCell ref="IZM1:IZP1"/>
    <mergeCell ref="IZQ1:IZT1"/>
    <mergeCell ref="IYG1:IYJ1"/>
    <mergeCell ref="IYK1:IYN1"/>
    <mergeCell ref="IYO1:IYR1"/>
    <mergeCell ref="IYS1:IYV1"/>
    <mergeCell ref="IYW1:IYZ1"/>
    <mergeCell ref="IXM1:IXP1"/>
    <mergeCell ref="IXQ1:IXT1"/>
    <mergeCell ref="IXU1:IXX1"/>
    <mergeCell ref="IXY1:IYB1"/>
    <mergeCell ref="IYC1:IYF1"/>
    <mergeCell ref="IWS1:IWV1"/>
    <mergeCell ref="IWW1:IWZ1"/>
    <mergeCell ref="IXA1:IXD1"/>
    <mergeCell ref="IXE1:IXH1"/>
    <mergeCell ref="IXI1:IXL1"/>
    <mergeCell ref="IVY1:IWB1"/>
    <mergeCell ref="IWC1:IWF1"/>
    <mergeCell ref="IWG1:IWJ1"/>
    <mergeCell ref="IWK1:IWN1"/>
    <mergeCell ref="IWO1:IWR1"/>
    <mergeCell ref="IVE1:IVH1"/>
    <mergeCell ref="IVI1:IVL1"/>
    <mergeCell ref="IVM1:IVP1"/>
    <mergeCell ref="IVQ1:IVT1"/>
    <mergeCell ref="IVU1:IVX1"/>
    <mergeCell ref="IUK1:IUN1"/>
    <mergeCell ref="IUO1:IUR1"/>
    <mergeCell ref="IUS1:IUV1"/>
    <mergeCell ref="IUW1:IUZ1"/>
    <mergeCell ref="IVA1:IVD1"/>
    <mergeCell ref="ITQ1:ITT1"/>
    <mergeCell ref="ITU1:ITX1"/>
    <mergeCell ref="ITY1:IUB1"/>
    <mergeCell ref="IUC1:IUF1"/>
    <mergeCell ref="IUG1:IUJ1"/>
    <mergeCell ref="ISW1:ISZ1"/>
    <mergeCell ref="ITA1:ITD1"/>
    <mergeCell ref="ITE1:ITH1"/>
    <mergeCell ref="ITI1:ITL1"/>
    <mergeCell ref="ITM1:ITP1"/>
    <mergeCell ref="ISC1:ISF1"/>
    <mergeCell ref="ISG1:ISJ1"/>
    <mergeCell ref="ISK1:ISN1"/>
    <mergeCell ref="ISO1:ISR1"/>
    <mergeCell ref="ISS1:ISV1"/>
    <mergeCell ref="IRI1:IRL1"/>
    <mergeCell ref="IRM1:IRP1"/>
    <mergeCell ref="IRQ1:IRT1"/>
    <mergeCell ref="IRU1:IRX1"/>
    <mergeCell ref="IRY1:ISB1"/>
    <mergeCell ref="IQO1:IQR1"/>
    <mergeCell ref="IQS1:IQV1"/>
    <mergeCell ref="IQW1:IQZ1"/>
    <mergeCell ref="IRA1:IRD1"/>
    <mergeCell ref="IRE1:IRH1"/>
    <mergeCell ref="IPU1:IPX1"/>
    <mergeCell ref="IPY1:IQB1"/>
    <mergeCell ref="IQC1:IQF1"/>
    <mergeCell ref="IQG1:IQJ1"/>
    <mergeCell ref="IQK1:IQN1"/>
    <mergeCell ref="IPA1:IPD1"/>
    <mergeCell ref="IPE1:IPH1"/>
    <mergeCell ref="IPI1:IPL1"/>
    <mergeCell ref="IPM1:IPP1"/>
    <mergeCell ref="IPQ1:IPT1"/>
    <mergeCell ref="IOG1:IOJ1"/>
    <mergeCell ref="IOK1:ION1"/>
    <mergeCell ref="IOO1:IOR1"/>
    <mergeCell ref="IOS1:IOV1"/>
    <mergeCell ref="IOW1:IOZ1"/>
    <mergeCell ref="INM1:INP1"/>
    <mergeCell ref="INQ1:INT1"/>
    <mergeCell ref="INU1:INX1"/>
    <mergeCell ref="INY1:IOB1"/>
    <mergeCell ref="IOC1:IOF1"/>
    <mergeCell ref="IMS1:IMV1"/>
    <mergeCell ref="IMW1:IMZ1"/>
    <mergeCell ref="INA1:IND1"/>
    <mergeCell ref="INE1:INH1"/>
    <mergeCell ref="INI1:INL1"/>
    <mergeCell ref="ILY1:IMB1"/>
    <mergeCell ref="IMC1:IMF1"/>
    <mergeCell ref="IMG1:IMJ1"/>
    <mergeCell ref="IMK1:IMN1"/>
    <mergeCell ref="IMO1:IMR1"/>
    <mergeCell ref="ILE1:ILH1"/>
    <mergeCell ref="ILI1:ILL1"/>
    <mergeCell ref="ILM1:ILP1"/>
    <mergeCell ref="ILQ1:ILT1"/>
    <mergeCell ref="ILU1:ILX1"/>
    <mergeCell ref="IKK1:IKN1"/>
    <mergeCell ref="IKO1:IKR1"/>
    <mergeCell ref="IKS1:IKV1"/>
    <mergeCell ref="IKW1:IKZ1"/>
    <mergeCell ref="ILA1:ILD1"/>
    <mergeCell ref="IJQ1:IJT1"/>
    <mergeCell ref="IJU1:IJX1"/>
    <mergeCell ref="IJY1:IKB1"/>
    <mergeCell ref="IKC1:IKF1"/>
    <mergeCell ref="IKG1:IKJ1"/>
    <mergeCell ref="IIW1:IIZ1"/>
    <mergeCell ref="IJA1:IJD1"/>
    <mergeCell ref="IJE1:IJH1"/>
    <mergeCell ref="IJI1:IJL1"/>
    <mergeCell ref="IJM1:IJP1"/>
    <mergeCell ref="IIC1:IIF1"/>
    <mergeCell ref="IIG1:IIJ1"/>
    <mergeCell ref="IIK1:IIN1"/>
    <mergeCell ref="IIO1:IIR1"/>
    <mergeCell ref="IIS1:IIV1"/>
    <mergeCell ref="IHI1:IHL1"/>
    <mergeCell ref="IHM1:IHP1"/>
    <mergeCell ref="IHQ1:IHT1"/>
    <mergeCell ref="IHU1:IHX1"/>
    <mergeCell ref="IHY1:IIB1"/>
    <mergeCell ref="IGO1:IGR1"/>
    <mergeCell ref="IGS1:IGV1"/>
    <mergeCell ref="IGW1:IGZ1"/>
    <mergeCell ref="IHA1:IHD1"/>
    <mergeCell ref="IHE1:IHH1"/>
    <mergeCell ref="IFU1:IFX1"/>
    <mergeCell ref="IFY1:IGB1"/>
    <mergeCell ref="IGC1:IGF1"/>
    <mergeCell ref="IGG1:IGJ1"/>
    <mergeCell ref="IGK1:IGN1"/>
    <mergeCell ref="IFA1:IFD1"/>
    <mergeCell ref="IFE1:IFH1"/>
    <mergeCell ref="IFI1:IFL1"/>
    <mergeCell ref="IFM1:IFP1"/>
    <mergeCell ref="IFQ1:IFT1"/>
    <mergeCell ref="IEG1:IEJ1"/>
    <mergeCell ref="IEK1:IEN1"/>
    <mergeCell ref="IEO1:IER1"/>
    <mergeCell ref="IES1:IEV1"/>
    <mergeCell ref="IEW1:IEZ1"/>
    <mergeCell ref="IDM1:IDP1"/>
    <mergeCell ref="IDQ1:IDT1"/>
    <mergeCell ref="IDU1:IDX1"/>
    <mergeCell ref="IDY1:IEB1"/>
    <mergeCell ref="IEC1:IEF1"/>
    <mergeCell ref="ICS1:ICV1"/>
    <mergeCell ref="ICW1:ICZ1"/>
    <mergeCell ref="IDA1:IDD1"/>
    <mergeCell ref="IDE1:IDH1"/>
    <mergeCell ref="IDI1:IDL1"/>
    <mergeCell ref="IBY1:ICB1"/>
    <mergeCell ref="ICC1:ICF1"/>
    <mergeCell ref="ICG1:ICJ1"/>
    <mergeCell ref="ICK1:ICN1"/>
    <mergeCell ref="ICO1:ICR1"/>
    <mergeCell ref="IBE1:IBH1"/>
    <mergeCell ref="IBI1:IBL1"/>
    <mergeCell ref="IBM1:IBP1"/>
    <mergeCell ref="IBQ1:IBT1"/>
    <mergeCell ref="IBU1:IBX1"/>
    <mergeCell ref="IAK1:IAN1"/>
    <mergeCell ref="IAO1:IAR1"/>
    <mergeCell ref="IAS1:IAV1"/>
    <mergeCell ref="IAW1:IAZ1"/>
    <mergeCell ref="IBA1:IBD1"/>
    <mergeCell ref="HZQ1:HZT1"/>
    <mergeCell ref="HZU1:HZX1"/>
    <mergeCell ref="HZY1:IAB1"/>
    <mergeCell ref="IAC1:IAF1"/>
    <mergeCell ref="IAG1:IAJ1"/>
    <mergeCell ref="HYW1:HYZ1"/>
    <mergeCell ref="HZA1:HZD1"/>
    <mergeCell ref="HZE1:HZH1"/>
    <mergeCell ref="HZI1:HZL1"/>
    <mergeCell ref="HZM1:HZP1"/>
    <mergeCell ref="HYC1:HYF1"/>
    <mergeCell ref="HYG1:HYJ1"/>
    <mergeCell ref="HYK1:HYN1"/>
    <mergeCell ref="HYO1:HYR1"/>
    <mergeCell ref="HYS1:HYV1"/>
    <mergeCell ref="HXI1:HXL1"/>
    <mergeCell ref="HXM1:HXP1"/>
    <mergeCell ref="HXQ1:HXT1"/>
    <mergeCell ref="HXU1:HXX1"/>
    <mergeCell ref="HXY1:HYB1"/>
    <mergeCell ref="HWO1:HWR1"/>
    <mergeCell ref="HWS1:HWV1"/>
    <mergeCell ref="HWW1:HWZ1"/>
    <mergeCell ref="HXA1:HXD1"/>
    <mergeCell ref="HXE1:HXH1"/>
    <mergeCell ref="HVU1:HVX1"/>
    <mergeCell ref="HVY1:HWB1"/>
    <mergeCell ref="HWC1:HWF1"/>
    <mergeCell ref="HWG1:HWJ1"/>
    <mergeCell ref="HWK1:HWN1"/>
    <mergeCell ref="HVA1:HVD1"/>
    <mergeCell ref="HVE1:HVH1"/>
    <mergeCell ref="HVI1:HVL1"/>
    <mergeCell ref="HVM1:HVP1"/>
    <mergeCell ref="HVQ1:HVT1"/>
    <mergeCell ref="HUG1:HUJ1"/>
    <mergeCell ref="HUK1:HUN1"/>
    <mergeCell ref="HUO1:HUR1"/>
    <mergeCell ref="HUS1:HUV1"/>
    <mergeCell ref="HUW1:HUZ1"/>
    <mergeCell ref="HTM1:HTP1"/>
    <mergeCell ref="HTQ1:HTT1"/>
    <mergeCell ref="HTU1:HTX1"/>
    <mergeCell ref="HTY1:HUB1"/>
    <mergeCell ref="HUC1:HUF1"/>
    <mergeCell ref="HSS1:HSV1"/>
    <mergeCell ref="HSW1:HSZ1"/>
    <mergeCell ref="HTA1:HTD1"/>
    <mergeCell ref="HTE1:HTH1"/>
    <mergeCell ref="HTI1:HTL1"/>
    <mergeCell ref="HRY1:HSB1"/>
    <mergeCell ref="HSC1:HSF1"/>
    <mergeCell ref="HSG1:HSJ1"/>
    <mergeCell ref="HSK1:HSN1"/>
    <mergeCell ref="HSO1:HSR1"/>
    <mergeCell ref="HRE1:HRH1"/>
    <mergeCell ref="HRI1:HRL1"/>
    <mergeCell ref="HRM1:HRP1"/>
    <mergeCell ref="HRQ1:HRT1"/>
    <mergeCell ref="HRU1:HRX1"/>
    <mergeCell ref="HQK1:HQN1"/>
    <mergeCell ref="HQO1:HQR1"/>
    <mergeCell ref="HQS1:HQV1"/>
    <mergeCell ref="HQW1:HQZ1"/>
    <mergeCell ref="HRA1:HRD1"/>
    <mergeCell ref="HPQ1:HPT1"/>
    <mergeCell ref="HPU1:HPX1"/>
    <mergeCell ref="HPY1:HQB1"/>
    <mergeCell ref="HQC1:HQF1"/>
    <mergeCell ref="HQG1:HQJ1"/>
    <mergeCell ref="HOW1:HOZ1"/>
    <mergeCell ref="HPA1:HPD1"/>
    <mergeCell ref="HPE1:HPH1"/>
    <mergeCell ref="HPI1:HPL1"/>
    <mergeCell ref="HPM1:HPP1"/>
    <mergeCell ref="HOC1:HOF1"/>
    <mergeCell ref="HOG1:HOJ1"/>
    <mergeCell ref="HOK1:HON1"/>
    <mergeCell ref="HOO1:HOR1"/>
    <mergeCell ref="HOS1:HOV1"/>
    <mergeCell ref="HNI1:HNL1"/>
    <mergeCell ref="HNM1:HNP1"/>
    <mergeCell ref="HNQ1:HNT1"/>
    <mergeCell ref="HNU1:HNX1"/>
    <mergeCell ref="HNY1:HOB1"/>
    <mergeCell ref="HMO1:HMR1"/>
    <mergeCell ref="HMS1:HMV1"/>
    <mergeCell ref="HMW1:HMZ1"/>
    <mergeCell ref="HNA1:HND1"/>
    <mergeCell ref="HNE1:HNH1"/>
    <mergeCell ref="HLU1:HLX1"/>
    <mergeCell ref="HLY1:HMB1"/>
    <mergeCell ref="HMC1:HMF1"/>
    <mergeCell ref="HMG1:HMJ1"/>
    <mergeCell ref="HMK1:HMN1"/>
    <mergeCell ref="HLA1:HLD1"/>
    <mergeCell ref="HLE1:HLH1"/>
    <mergeCell ref="HLI1:HLL1"/>
    <mergeCell ref="HLM1:HLP1"/>
    <mergeCell ref="HLQ1:HLT1"/>
    <mergeCell ref="HKG1:HKJ1"/>
    <mergeCell ref="HKK1:HKN1"/>
    <mergeCell ref="HKO1:HKR1"/>
    <mergeCell ref="HKS1:HKV1"/>
    <mergeCell ref="HKW1:HKZ1"/>
    <mergeCell ref="HJM1:HJP1"/>
    <mergeCell ref="HJQ1:HJT1"/>
    <mergeCell ref="HJU1:HJX1"/>
    <mergeCell ref="HJY1:HKB1"/>
    <mergeCell ref="HKC1:HKF1"/>
    <mergeCell ref="HIS1:HIV1"/>
    <mergeCell ref="HIW1:HIZ1"/>
    <mergeCell ref="HJA1:HJD1"/>
    <mergeCell ref="HJE1:HJH1"/>
    <mergeCell ref="HJI1:HJL1"/>
    <mergeCell ref="HHY1:HIB1"/>
    <mergeCell ref="HIC1:HIF1"/>
    <mergeCell ref="HIG1:HIJ1"/>
    <mergeCell ref="HIK1:HIN1"/>
    <mergeCell ref="HIO1:HIR1"/>
    <mergeCell ref="HHE1:HHH1"/>
    <mergeCell ref="HHI1:HHL1"/>
    <mergeCell ref="HHM1:HHP1"/>
    <mergeCell ref="HHQ1:HHT1"/>
    <mergeCell ref="HHU1:HHX1"/>
    <mergeCell ref="HGK1:HGN1"/>
    <mergeCell ref="HGO1:HGR1"/>
    <mergeCell ref="HGS1:HGV1"/>
    <mergeCell ref="HGW1:HGZ1"/>
    <mergeCell ref="HHA1:HHD1"/>
    <mergeCell ref="HFQ1:HFT1"/>
    <mergeCell ref="HFU1:HFX1"/>
    <mergeCell ref="HFY1:HGB1"/>
    <mergeCell ref="HGC1:HGF1"/>
    <mergeCell ref="HGG1:HGJ1"/>
    <mergeCell ref="HEW1:HEZ1"/>
    <mergeCell ref="HFA1:HFD1"/>
    <mergeCell ref="HFE1:HFH1"/>
    <mergeCell ref="HFI1:HFL1"/>
    <mergeCell ref="HFM1:HFP1"/>
    <mergeCell ref="HEC1:HEF1"/>
    <mergeCell ref="HEG1:HEJ1"/>
    <mergeCell ref="HEK1:HEN1"/>
    <mergeCell ref="HEO1:HER1"/>
    <mergeCell ref="HES1:HEV1"/>
    <mergeCell ref="HDI1:HDL1"/>
    <mergeCell ref="HDM1:HDP1"/>
    <mergeCell ref="HDQ1:HDT1"/>
    <mergeCell ref="HDU1:HDX1"/>
    <mergeCell ref="HDY1:HEB1"/>
    <mergeCell ref="HCO1:HCR1"/>
    <mergeCell ref="HCS1:HCV1"/>
    <mergeCell ref="HCW1:HCZ1"/>
    <mergeCell ref="HDA1:HDD1"/>
    <mergeCell ref="HDE1:HDH1"/>
    <mergeCell ref="HBU1:HBX1"/>
    <mergeCell ref="HBY1:HCB1"/>
    <mergeCell ref="HCC1:HCF1"/>
    <mergeCell ref="HCG1:HCJ1"/>
    <mergeCell ref="HCK1:HCN1"/>
    <mergeCell ref="HBA1:HBD1"/>
    <mergeCell ref="HBE1:HBH1"/>
    <mergeCell ref="HBI1:HBL1"/>
    <mergeCell ref="HBM1:HBP1"/>
    <mergeCell ref="HBQ1:HBT1"/>
    <mergeCell ref="HAG1:HAJ1"/>
    <mergeCell ref="HAK1:HAN1"/>
    <mergeCell ref="HAO1:HAR1"/>
    <mergeCell ref="HAS1:HAV1"/>
    <mergeCell ref="HAW1:HAZ1"/>
    <mergeCell ref="GZM1:GZP1"/>
    <mergeCell ref="GZQ1:GZT1"/>
    <mergeCell ref="GZU1:GZX1"/>
    <mergeCell ref="GZY1:HAB1"/>
    <mergeCell ref="HAC1:HAF1"/>
    <mergeCell ref="GYS1:GYV1"/>
    <mergeCell ref="GYW1:GYZ1"/>
    <mergeCell ref="GZA1:GZD1"/>
    <mergeCell ref="GZE1:GZH1"/>
    <mergeCell ref="GZI1:GZL1"/>
    <mergeCell ref="GXY1:GYB1"/>
    <mergeCell ref="GYC1:GYF1"/>
    <mergeCell ref="GYG1:GYJ1"/>
    <mergeCell ref="GYK1:GYN1"/>
    <mergeCell ref="GYO1:GYR1"/>
    <mergeCell ref="GXE1:GXH1"/>
    <mergeCell ref="GXI1:GXL1"/>
    <mergeCell ref="GXM1:GXP1"/>
    <mergeCell ref="GXQ1:GXT1"/>
    <mergeCell ref="GXU1:GXX1"/>
    <mergeCell ref="GWK1:GWN1"/>
    <mergeCell ref="GWO1:GWR1"/>
    <mergeCell ref="GWS1:GWV1"/>
    <mergeCell ref="GWW1:GWZ1"/>
    <mergeCell ref="GXA1:GXD1"/>
    <mergeCell ref="GVQ1:GVT1"/>
    <mergeCell ref="GVU1:GVX1"/>
    <mergeCell ref="GVY1:GWB1"/>
    <mergeCell ref="GWC1:GWF1"/>
    <mergeCell ref="GWG1:GWJ1"/>
    <mergeCell ref="GUW1:GUZ1"/>
    <mergeCell ref="GVA1:GVD1"/>
    <mergeCell ref="GVE1:GVH1"/>
    <mergeCell ref="GVI1:GVL1"/>
    <mergeCell ref="GVM1:GVP1"/>
    <mergeCell ref="GUC1:GUF1"/>
    <mergeCell ref="GUG1:GUJ1"/>
    <mergeCell ref="GUK1:GUN1"/>
    <mergeCell ref="GUO1:GUR1"/>
    <mergeCell ref="GUS1:GUV1"/>
    <mergeCell ref="GTI1:GTL1"/>
    <mergeCell ref="GTM1:GTP1"/>
    <mergeCell ref="GTQ1:GTT1"/>
    <mergeCell ref="GTU1:GTX1"/>
    <mergeCell ref="GTY1:GUB1"/>
    <mergeCell ref="GSO1:GSR1"/>
    <mergeCell ref="GSS1:GSV1"/>
    <mergeCell ref="GSW1:GSZ1"/>
    <mergeCell ref="GTA1:GTD1"/>
    <mergeCell ref="GTE1:GTH1"/>
    <mergeCell ref="GRU1:GRX1"/>
    <mergeCell ref="GRY1:GSB1"/>
    <mergeCell ref="GSC1:GSF1"/>
    <mergeCell ref="GSG1:GSJ1"/>
    <mergeCell ref="GSK1:GSN1"/>
    <mergeCell ref="GRA1:GRD1"/>
    <mergeCell ref="GRE1:GRH1"/>
    <mergeCell ref="GRI1:GRL1"/>
    <mergeCell ref="GRM1:GRP1"/>
    <mergeCell ref="GRQ1:GRT1"/>
    <mergeCell ref="GQG1:GQJ1"/>
    <mergeCell ref="GQK1:GQN1"/>
    <mergeCell ref="GQO1:GQR1"/>
    <mergeCell ref="GQS1:GQV1"/>
    <mergeCell ref="GQW1:GQZ1"/>
    <mergeCell ref="GPM1:GPP1"/>
    <mergeCell ref="GPQ1:GPT1"/>
    <mergeCell ref="GPU1:GPX1"/>
    <mergeCell ref="GPY1:GQB1"/>
    <mergeCell ref="GQC1:GQF1"/>
    <mergeCell ref="GOS1:GOV1"/>
    <mergeCell ref="GOW1:GOZ1"/>
    <mergeCell ref="GPA1:GPD1"/>
    <mergeCell ref="GPE1:GPH1"/>
    <mergeCell ref="GPI1:GPL1"/>
    <mergeCell ref="GNY1:GOB1"/>
    <mergeCell ref="GOC1:GOF1"/>
    <mergeCell ref="GOG1:GOJ1"/>
    <mergeCell ref="GOK1:GON1"/>
    <mergeCell ref="GOO1:GOR1"/>
    <mergeCell ref="GNE1:GNH1"/>
    <mergeCell ref="GNI1:GNL1"/>
    <mergeCell ref="GNM1:GNP1"/>
    <mergeCell ref="GNQ1:GNT1"/>
    <mergeCell ref="GNU1:GNX1"/>
    <mergeCell ref="GMK1:GMN1"/>
    <mergeCell ref="GMO1:GMR1"/>
    <mergeCell ref="GMS1:GMV1"/>
    <mergeCell ref="GMW1:GMZ1"/>
    <mergeCell ref="GNA1:GND1"/>
    <mergeCell ref="GLQ1:GLT1"/>
    <mergeCell ref="GLU1:GLX1"/>
    <mergeCell ref="GLY1:GMB1"/>
    <mergeCell ref="GMC1:GMF1"/>
    <mergeCell ref="GMG1:GMJ1"/>
    <mergeCell ref="GKW1:GKZ1"/>
    <mergeCell ref="GLA1:GLD1"/>
    <mergeCell ref="GLE1:GLH1"/>
    <mergeCell ref="GLI1:GLL1"/>
    <mergeCell ref="GLM1:GLP1"/>
    <mergeCell ref="GKC1:GKF1"/>
    <mergeCell ref="GKG1:GKJ1"/>
    <mergeCell ref="GKK1:GKN1"/>
    <mergeCell ref="GKO1:GKR1"/>
    <mergeCell ref="GKS1:GKV1"/>
    <mergeCell ref="GJI1:GJL1"/>
    <mergeCell ref="GJM1:GJP1"/>
    <mergeCell ref="GJQ1:GJT1"/>
    <mergeCell ref="GJU1:GJX1"/>
    <mergeCell ref="GJY1:GKB1"/>
    <mergeCell ref="GIO1:GIR1"/>
    <mergeCell ref="GIS1:GIV1"/>
    <mergeCell ref="GIW1:GIZ1"/>
    <mergeCell ref="GJA1:GJD1"/>
    <mergeCell ref="GJE1:GJH1"/>
    <mergeCell ref="GHU1:GHX1"/>
    <mergeCell ref="GHY1:GIB1"/>
    <mergeCell ref="GIC1:GIF1"/>
    <mergeCell ref="GIG1:GIJ1"/>
    <mergeCell ref="GIK1:GIN1"/>
    <mergeCell ref="GHA1:GHD1"/>
    <mergeCell ref="GHE1:GHH1"/>
    <mergeCell ref="GHI1:GHL1"/>
    <mergeCell ref="GHM1:GHP1"/>
    <mergeCell ref="GHQ1:GHT1"/>
    <mergeCell ref="GGG1:GGJ1"/>
    <mergeCell ref="GGK1:GGN1"/>
    <mergeCell ref="GGO1:GGR1"/>
    <mergeCell ref="GGS1:GGV1"/>
    <mergeCell ref="GGW1:GGZ1"/>
    <mergeCell ref="GFM1:GFP1"/>
    <mergeCell ref="GFQ1:GFT1"/>
    <mergeCell ref="GFU1:GFX1"/>
    <mergeCell ref="GFY1:GGB1"/>
    <mergeCell ref="GGC1:GGF1"/>
    <mergeCell ref="GES1:GEV1"/>
    <mergeCell ref="GEW1:GEZ1"/>
    <mergeCell ref="GFA1:GFD1"/>
    <mergeCell ref="GFE1:GFH1"/>
    <mergeCell ref="GFI1:GFL1"/>
    <mergeCell ref="GDY1:GEB1"/>
    <mergeCell ref="GEC1:GEF1"/>
    <mergeCell ref="GEG1:GEJ1"/>
    <mergeCell ref="GEK1:GEN1"/>
    <mergeCell ref="GEO1:GER1"/>
    <mergeCell ref="GDE1:GDH1"/>
    <mergeCell ref="GDI1:GDL1"/>
    <mergeCell ref="GDM1:GDP1"/>
    <mergeCell ref="GDQ1:GDT1"/>
    <mergeCell ref="GDU1:GDX1"/>
    <mergeCell ref="GCK1:GCN1"/>
    <mergeCell ref="GCO1:GCR1"/>
    <mergeCell ref="GCS1:GCV1"/>
    <mergeCell ref="GCW1:GCZ1"/>
    <mergeCell ref="GDA1:GDD1"/>
    <mergeCell ref="GBQ1:GBT1"/>
    <mergeCell ref="GBU1:GBX1"/>
    <mergeCell ref="GBY1:GCB1"/>
    <mergeCell ref="GCC1:GCF1"/>
    <mergeCell ref="GCG1:GCJ1"/>
    <mergeCell ref="GAW1:GAZ1"/>
    <mergeCell ref="GBA1:GBD1"/>
    <mergeCell ref="GBE1:GBH1"/>
    <mergeCell ref="GBI1:GBL1"/>
    <mergeCell ref="GBM1:GBP1"/>
    <mergeCell ref="GAC1:GAF1"/>
    <mergeCell ref="GAG1:GAJ1"/>
    <mergeCell ref="GAK1:GAN1"/>
    <mergeCell ref="GAO1:GAR1"/>
    <mergeCell ref="GAS1:GAV1"/>
    <mergeCell ref="FZI1:FZL1"/>
    <mergeCell ref="FZM1:FZP1"/>
    <mergeCell ref="FZQ1:FZT1"/>
    <mergeCell ref="FZU1:FZX1"/>
    <mergeCell ref="FZY1:GAB1"/>
    <mergeCell ref="FYO1:FYR1"/>
    <mergeCell ref="FYS1:FYV1"/>
    <mergeCell ref="FYW1:FYZ1"/>
    <mergeCell ref="FZA1:FZD1"/>
    <mergeCell ref="FZE1:FZH1"/>
    <mergeCell ref="FXU1:FXX1"/>
    <mergeCell ref="FXY1:FYB1"/>
    <mergeCell ref="FYC1:FYF1"/>
    <mergeCell ref="FYG1:FYJ1"/>
    <mergeCell ref="FYK1:FYN1"/>
    <mergeCell ref="FXA1:FXD1"/>
    <mergeCell ref="FXE1:FXH1"/>
    <mergeCell ref="FXI1:FXL1"/>
    <mergeCell ref="FXM1:FXP1"/>
    <mergeCell ref="FXQ1:FXT1"/>
    <mergeCell ref="FWG1:FWJ1"/>
    <mergeCell ref="FWK1:FWN1"/>
    <mergeCell ref="FWO1:FWR1"/>
    <mergeCell ref="FWS1:FWV1"/>
    <mergeCell ref="FWW1:FWZ1"/>
    <mergeCell ref="FVM1:FVP1"/>
    <mergeCell ref="FVQ1:FVT1"/>
    <mergeCell ref="FVU1:FVX1"/>
    <mergeCell ref="FVY1:FWB1"/>
    <mergeCell ref="FWC1:FWF1"/>
    <mergeCell ref="FUS1:FUV1"/>
    <mergeCell ref="FUW1:FUZ1"/>
    <mergeCell ref="FVA1:FVD1"/>
    <mergeCell ref="FVE1:FVH1"/>
    <mergeCell ref="FVI1:FVL1"/>
    <mergeCell ref="FTY1:FUB1"/>
    <mergeCell ref="FUC1:FUF1"/>
    <mergeCell ref="FUG1:FUJ1"/>
    <mergeCell ref="FUK1:FUN1"/>
    <mergeCell ref="FUO1:FUR1"/>
    <mergeCell ref="FTE1:FTH1"/>
    <mergeCell ref="FTI1:FTL1"/>
    <mergeCell ref="FTM1:FTP1"/>
    <mergeCell ref="FTQ1:FTT1"/>
    <mergeCell ref="FTU1:FTX1"/>
    <mergeCell ref="FSK1:FSN1"/>
    <mergeCell ref="FSO1:FSR1"/>
    <mergeCell ref="FSS1:FSV1"/>
    <mergeCell ref="FSW1:FSZ1"/>
    <mergeCell ref="FTA1:FTD1"/>
    <mergeCell ref="FRQ1:FRT1"/>
    <mergeCell ref="FRU1:FRX1"/>
    <mergeCell ref="FRY1:FSB1"/>
    <mergeCell ref="FSC1:FSF1"/>
    <mergeCell ref="FSG1:FSJ1"/>
    <mergeCell ref="FQW1:FQZ1"/>
    <mergeCell ref="FRA1:FRD1"/>
    <mergeCell ref="FRE1:FRH1"/>
    <mergeCell ref="FRI1:FRL1"/>
    <mergeCell ref="FRM1:FRP1"/>
    <mergeCell ref="FQC1:FQF1"/>
    <mergeCell ref="FQG1:FQJ1"/>
    <mergeCell ref="FQK1:FQN1"/>
    <mergeCell ref="FQO1:FQR1"/>
    <mergeCell ref="FQS1:FQV1"/>
    <mergeCell ref="FPI1:FPL1"/>
    <mergeCell ref="FPM1:FPP1"/>
    <mergeCell ref="FPQ1:FPT1"/>
    <mergeCell ref="FPU1:FPX1"/>
    <mergeCell ref="FPY1:FQB1"/>
    <mergeCell ref="FOO1:FOR1"/>
    <mergeCell ref="FOS1:FOV1"/>
    <mergeCell ref="FOW1:FOZ1"/>
    <mergeCell ref="FPA1:FPD1"/>
    <mergeCell ref="FPE1:FPH1"/>
    <mergeCell ref="FNU1:FNX1"/>
    <mergeCell ref="FNY1:FOB1"/>
    <mergeCell ref="FOC1:FOF1"/>
    <mergeCell ref="FOG1:FOJ1"/>
    <mergeCell ref="FOK1:FON1"/>
    <mergeCell ref="FNA1:FND1"/>
    <mergeCell ref="FNE1:FNH1"/>
    <mergeCell ref="FNI1:FNL1"/>
    <mergeCell ref="FNM1:FNP1"/>
    <mergeCell ref="FNQ1:FNT1"/>
    <mergeCell ref="FMG1:FMJ1"/>
    <mergeCell ref="FMK1:FMN1"/>
    <mergeCell ref="FMO1:FMR1"/>
    <mergeCell ref="FMS1:FMV1"/>
    <mergeCell ref="FMW1:FMZ1"/>
    <mergeCell ref="FLM1:FLP1"/>
    <mergeCell ref="FLQ1:FLT1"/>
    <mergeCell ref="FLU1:FLX1"/>
    <mergeCell ref="FLY1:FMB1"/>
    <mergeCell ref="FMC1:FMF1"/>
    <mergeCell ref="FKS1:FKV1"/>
    <mergeCell ref="FKW1:FKZ1"/>
    <mergeCell ref="FLA1:FLD1"/>
    <mergeCell ref="FLE1:FLH1"/>
    <mergeCell ref="FLI1:FLL1"/>
    <mergeCell ref="FJY1:FKB1"/>
    <mergeCell ref="FKC1:FKF1"/>
    <mergeCell ref="FKG1:FKJ1"/>
    <mergeCell ref="FKK1:FKN1"/>
    <mergeCell ref="FKO1:FKR1"/>
    <mergeCell ref="FJE1:FJH1"/>
    <mergeCell ref="FJI1:FJL1"/>
    <mergeCell ref="FJM1:FJP1"/>
    <mergeCell ref="FJQ1:FJT1"/>
    <mergeCell ref="FJU1:FJX1"/>
    <mergeCell ref="FIK1:FIN1"/>
    <mergeCell ref="FIO1:FIR1"/>
    <mergeCell ref="FIS1:FIV1"/>
    <mergeCell ref="FIW1:FIZ1"/>
    <mergeCell ref="FJA1:FJD1"/>
    <mergeCell ref="FHQ1:FHT1"/>
    <mergeCell ref="FHU1:FHX1"/>
    <mergeCell ref="FHY1:FIB1"/>
    <mergeCell ref="FIC1:FIF1"/>
    <mergeCell ref="FIG1:FIJ1"/>
    <mergeCell ref="FGW1:FGZ1"/>
    <mergeCell ref="FHA1:FHD1"/>
    <mergeCell ref="FHE1:FHH1"/>
    <mergeCell ref="FHI1:FHL1"/>
    <mergeCell ref="FHM1:FHP1"/>
    <mergeCell ref="FGC1:FGF1"/>
    <mergeCell ref="FGG1:FGJ1"/>
    <mergeCell ref="FGK1:FGN1"/>
    <mergeCell ref="FGO1:FGR1"/>
    <mergeCell ref="FGS1:FGV1"/>
    <mergeCell ref="FFI1:FFL1"/>
    <mergeCell ref="FFM1:FFP1"/>
    <mergeCell ref="FFQ1:FFT1"/>
    <mergeCell ref="FFU1:FFX1"/>
    <mergeCell ref="FFY1:FGB1"/>
    <mergeCell ref="FEO1:FER1"/>
    <mergeCell ref="FES1:FEV1"/>
    <mergeCell ref="FEW1:FEZ1"/>
    <mergeCell ref="FFA1:FFD1"/>
    <mergeCell ref="FFE1:FFH1"/>
    <mergeCell ref="FDU1:FDX1"/>
    <mergeCell ref="FDY1:FEB1"/>
    <mergeCell ref="FEC1:FEF1"/>
    <mergeCell ref="FEG1:FEJ1"/>
    <mergeCell ref="FEK1:FEN1"/>
    <mergeCell ref="FDA1:FDD1"/>
    <mergeCell ref="FDE1:FDH1"/>
    <mergeCell ref="FDI1:FDL1"/>
    <mergeCell ref="FDM1:FDP1"/>
    <mergeCell ref="FDQ1:FDT1"/>
    <mergeCell ref="FCG1:FCJ1"/>
    <mergeCell ref="FCK1:FCN1"/>
    <mergeCell ref="FCO1:FCR1"/>
    <mergeCell ref="FCS1:FCV1"/>
    <mergeCell ref="FCW1:FCZ1"/>
    <mergeCell ref="FBM1:FBP1"/>
    <mergeCell ref="FBQ1:FBT1"/>
    <mergeCell ref="FBU1:FBX1"/>
    <mergeCell ref="FBY1:FCB1"/>
    <mergeCell ref="FCC1:FCF1"/>
    <mergeCell ref="FAS1:FAV1"/>
    <mergeCell ref="FAW1:FAZ1"/>
    <mergeCell ref="FBA1:FBD1"/>
    <mergeCell ref="FBE1:FBH1"/>
    <mergeCell ref="FBI1:FBL1"/>
    <mergeCell ref="EZY1:FAB1"/>
    <mergeCell ref="FAC1:FAF1"/>
    <mergeCell ref="FAG1:FAJ1"/>
    <mergeCell ref="FAK1:FAN1"/>
    <mergeCell ref="FAO1:FAR1"/>
    <mergeCell ref="EZE1:EZH1"/>
    <mergeCell ref="EZI1:EZL1"/>
    <mergeCell ref="EZM1:EZP1"/>
    <mergeCell ref="EZQ1:EZT1"/>
    <mergeCell ref="EZU1:EZX1"/>
    <mergeCell ref="EYK1:EYN1"/>
    <mergeCell ref="EYO1:EYR1"/>
    <mergeCell ref="EYS1:EYV1"/>
    <mergeCell ref="EYW1:EYZ1"/>
    <mergeCell ref="EZA1:EZD1"/>
    <mergeCell ref="EXQ1:EXT1"/>
    <mergeCell ref="EXU1:EXX1"/>
    <mergeCell ref="EXY1:EYB1"/>
    <mergeCell ref="EYC1:EYF1"/>
    <mergeCell ref="EYG1:EYJ1"/>
    <mergeCell ref="EWW1:EWZ1"/>
    <mergeCell ref="EXA1:EXD1"/>
    <mergeCell ref="EXE1:EXH1"/>
    <mergeCell ref="EXI1:EXL1"/>
    <mergeCell ref="EXM1:EXP1"/>
    <mergeCell ref="EWC1:EWF1"/>
    <mergeCell ref="EWG1:EWJ1"/>
    <mergeCell ref="EWK1:EWN1"/>
    <mergeCell ref="EWO1:EWR1"/>
    <mergeCell ref="EWS1:EWV1"/>
    <mergeCell ref="EVI1:EVL1"/>
    <mergeCell ref="EVM1:EVP1"/>
    <mergeCell ref="EVQ1:EVT1"/>
    <mergeCell ref="EVU1:EVX1"/>
    <mergeCell ref="EVY1:EWB1"/>
    <mergeCell ref="EUO1:EUR1"/>
    <mergeCell ref="EUS1:EUV1"/>
    <mergeCell ref="EUW1:EUZ1"/>
    <mergeCell ref="EVA1:EVD1"/>
    <mergeCell ref="EVE1:EVH1"/>
    <mergeCell ref="ETU1:ETX1"/>
    <mergeCell ref="ETY1:EUB1"/>
    <mergeCell ref="EUC1:EUF1"/>
    <mergeCell ref="EUG1:EUJ1"/>
    <mergeCell ref="EUK1:EUN1"/>
    <mergeCell ref="ETA1:ETD1"/>
    <mergeCell ref="ETE1:ETH1"/>
    <mergeCell ref="ETI1:ETL1"/>
    <mergeCell ref="ETM1:ETP1"/>
    <mergeCell ref="ETQ1:ETT1"/>
    <mergeCell ref="ESG1:ESJ1"/>
    <mergeCell ref="ESK1:ESN1"/>
    <mergeCell ref="ESO1:ESR1"/>
    <mergeCell ref="ESS1:ESV1"/>
    <mergeCell ref="ESW1:ESZ1"/>
    <mergeCell ref="ERM1:ERP1"/>
    <mergeCell ref="ERQ1:ERT1"/>
    <mergeCell ref="ERU1:ERX1"/>
    <mergeCell ref="ERY1:ESB1"/>
    <mergeCell ref="ESC1:ESF1"/>
    <mergeCell ref="EQS1:EQV1"/>
    <mergeCell ref="EQW1:EQZ1"/>
    <mergeCell ref="ERA1:ERD1"/>
    <mergeCell ref="ERE1:ERH1"/>
    <mergeCell ref="ERI1:ERL1"/>
    <mergeCell ref="EPY1:EQB1"/>
    <mergeCell ref="EQC1:EQF1"/>
    <mergeCell ref="EQG1:EQJ1"/>
    <mergeCell ref="EQK1:EQN1"/>
    <mergeCell ref="EQO1:EQR1"/>
    <mergeCell ref="EPE1:EPH1"/>
    <mergeCell ref="EPI1:EPL1"/>
    <mergeCell ref="EPM1:EPP1"/>
    <mergeCell ref="EPQ1:EPT1"/>
    <mergeCell ref="EPU1:EPX1"/>
    <mergeCell ref="EOK1:EON1"/>
    <mergeCell ref="EOO1:EOR1"/>
    <mergeCell ref="EOS1:EOV1"/>
    <mergeCell ref="EOW1:EOZ1"/>
    <mergeCell ref="EPA1:EPD1"/>
    <mergeCell ref="ENQ1:ENT1"/>
    <mergeCell ref="ENU1:ENX1"/>
    <mergeCell ref="ENY1:EOB1"/>
    <mergeCell ref="EOC1:EOF1"/>
    <mergeCell ref="EOG1:EOJ1"/>
    <mergeCell ref="EMW1:EMZ1"/>
    <mergeCell ref="ENA1:END1"/>
    <mergeCell ref="ENE1:ENH1"/>
    <mergeCell ref="ENI1:ENL1"/>
    <mergeCell ref="ENM1:ENP1"/>
    <mergeCell ref="EMC1:EMF1"/>
    <mergeCell ref="EMG1:EMJ1"/>
    <mergeCell ref="EMK1:EMN1"/>
    <mergeCell ref="EMO1:EMR1"/>
    <mergeCell ref="EMS1:EMV1"/>
    <mergeCell ref="ELI1:ELL1"/>
    <mergeCell ref="ELM1:ELP1"/>
    <mergeCell ref="ELQ1:ELT1"/>
    <mergeCell ref="ELU1:ELX1"/>
    <mergeCell ref="ELY1:EMB1"/>
    <mergeCell ref="EKO1:EKR1"/>
    <mergeCell ref="EKS1:EKV1"/>
    <mergeCell ref="EKW1:EKZ1"/>
    <mergeCell ref="ELA1:ELD1"/>
    <mergeCell ref="ELE1:ELH1"/>
    <mergeCell ref="EJU1:EJX1"/>
    <mergeCell ref="EJY1:EKB1"/>
    <mergeCell ref="EKC1:EKF1"/>
    <mergeCell ref="EKG1:EKJ1"/>
    <mergeCell ref="EKK1:EKN1"/>
    <mergeCell ref="EJA1:EJD1"/>
    <mergeCell ref="EJE1:EJH1"/>
    <mergeCell ref="EJI1:EJL1"/>
    <mergeCell ref="EJM1:EJP1"/>
    <mergeCell ref="EJQ1:EJT1"/>
    <mergeCell ref="EIG1:EIJ1"/>
    <mergeCell ref="EIK1:EIN1"/>
    <mergeCell ref="EIO1:EIR1"/>
    <mergeCell ref="EIS1:EIV1"/>
    <mergeCell ref="EIW1:EIZ1"/>
    <mergeCell ref="EHM1:EHP1"/>
    <mergeCell ref="EHQ1:EHT1"/>
    <mergeCell ref="EHU1:EHX1"/>
    <mergeCell ref="EHY1:EIB1"/>
    <mergeCell ref="EIC1:EIF1"/>
    <mergeCell ref="EGS1:EGV1"/>
    <mergeCell ref="EGW1:EGZ1"/>
    <mergeCell ref="EHA1:EHD1"/>
    <mergeCell ref="EHE1:EHH1"/>
    <mergeCell ref="EHI1:EHL1"/>
    <mergeCell ref="EFY1:EGB1"/>
    <mergeCell ref="EGC1:EGF1"/>
    <mergeCell ref="EGG1:EGJ1"/>
    <mergeCell ref="EGK1:EGN1"/>
    <mergeCell ref="EGO1:EGR1"/>
    <mergeCell ref="EFE1:EFH1"/>
    <mergeCell ref="EFI1:EFL1"/>
    <mergeCell ref="EFM1:EFP1"/>
    <mergeCell ref="EFQ1:EFT1"/>
    <mergeCell ref="EFU1:EFX1"/>
    <mergeCell ref="EEK1:EEN1"/>
    <mergeCell ref="EEO1:EER1"/>
    <mergeCell ref="EES1:EEV1"/>
    <mergeCell ref="EEW1:EEZ1"/>
    <mergeCell ref="EFA1:EFD1"/>
    <mergeCell ref="EDQ1:EDT1"/>
    <mergeCell ref="EDU1:EDX1"/>
    <mergeCell ref="EDY1:EEB1"/>
    <mergeCell ref="EEC1:EEF1"/>
    <mergeCell ref="EEG1:EEJ1"/>
    <mergeCell ref="ECW1:ECZ1"/>
    <mergeCell ref="EDA1:EDD1"/>
    <mergeCell ref="EDE1:EDH1"/>
    <mergeCell ref="EDI1:EDL1"/>
    <mergeCell ref="EDM1:EDP1"/>
    <mergeCell ref="ECC1:ECF1"/>
    <mergeCell ref="ECG1:ECJ1"/>
    <mergeCell ref="ECK1:ECN1"/>
    <mergeCell ref="ECO1:ECR1"/>
    <mergeCell ref="ECS1:ECV1"/>
    <mergeCell ref="EBI1:EBL1"/>
    <mergeCell ref="EBM1:EBP1"/>
    <mergeCell ref="EBQ1:EBT1"/>
    <mergeCell ref="EBU1:EBX1"/>
    <mergeCell ref="EBY1:ECB1"/>
    <mergeCell ref="EAO1:EAR1"/>
    <mergeCell ref="EAS1:EAV1"/>
    <mergeCell ref="EAW1:EAZ1"/>
    <mergeCell ref="EBA1:EBD1"/>
    <mergeCell ref="EBE1:EBH1"/>
    <mergeCell ref="DZU1:DZX1"/>
    <mergeCell ref="DZY1:EAB1"/>
    <mergeCell ref="EAC1:EAF1"/>
    <mergeCell ref="EAG1:EAJ1"/>
    <mergeCell ref="EAK1:EAN1"/>
    <mergeCell ref="DZA1:DZD1"/>
    <mergeCell ref="DZE1:DZH1"/>
    <mergeCell ref="DZI1:DZL1"/>
    <mergeCell ref="DZM1:DZP1"/>
    <mergeCell ref="DZQ1:DZT1"/>
    <mergeCell ref="DYG1:DYJ1"/>
    <mergeCell ref="DYK1:DYN1"/>
    <mergeCell ref="DYO1:DYR1"/>
    <mergeCell ref="DYS1:DYV1"/>
    <mergeCell ref="DYW1:DYZ1"/>
    <mergeCell ref="DXM1:DXP1"/>
    <mergeCell ref="DXQ1:DXT1"/>
    <mergeCell ref="DXU1:DXX1"/>
    <mergeCell ref="DXY1:DYB1"/>
    <mergeCell ref="DYC1:DYF1"/>
    <mergeCell ref="DWS1:DWV1"/>
    <mergeCell ref="DWW1:DWZ1"/>
    <mergeCell ref="DXA1:DXD1"/>
    <mergeCell ref="DXE1:DXH1"/>
    <mergeCell ref="DXI1:DXL1"/>
    <mergeCell ref="DVY1:DWB1"/>
    <mergeCell ref="DWC1:DWF1"/>
    <mergeCell ref="DWG1:DWJ1"/>
    <mergeCell ref="DWK1:DWN1"/>
    <mergeCell ref="DWO1:DWR1"/>
    <mergeCell ref="DVE1:DVH1"/>
    <mergeCell ref="DVI1:DVL1"/>
    <mergeCell ref="DVM1:DVP1"/>
    <mergeCell ref="DVQ1:DVT1"/>
    <mergeCell ref="DVU1:DVX1"/>
    <mergeCell ref="DUK1:DUN1"/>
    <mergeCell ref="DUO1:DUR1"/>
    <mergeCell ref="DUS1:DUV1"/>
    <mergeCell ref="DUW1:DUZ1"/>
    <mergeCell ref="DVA1:DVD1"/>
    <mergeCell ref="DTQ1:DTT1"/>
    <mergeCell ref="DTU1:DTX1"/>
    <mergeCell ref="DTY1:DUB1"/>
    <mergeCell ref="DUC1:DUF1"/>
    <mergeCell ref="DUG1:DUJ1"/>
    <mergeCell ref="DSW1:DSZ1"/>
    <mergeCell ref="DTA1:DTD1"/>
    <mergeCell ref="DTE1:DTH1"/>
    <mergeCell ref="DTI1:DTL1"/>
    <mergeCell ref="DTM1:DTP1"/>
    <mergeCell ref="DSC1:DSF1"/>
    <mergeCell ref="DSG1:DSJ1"/>
    <mergeCell ref="DSK1:DSN1"/>
    <mergeCell ref="DSO1:DSR1"/>
    <mergeCell ref="DSS1:DSV1"/>
    <mergeCell ref="DRI1:DRL1"/>
    <mergeCell ref="DRM1:DRP1"/>
    <mergeCell ref="DRQ1:DRT1"/>
    <mergeCell ref="DRU1:DRX1"/>
    <mergeCell ref="DRY1:DSB1"/>
    <mergeCell ref="DQO1:DQR1"/>
    <mergeCell ref="DQS1:DQV1"/>
    <mergeCell ref="DQW1:DQZ1"/>
    <mergeCell ref="DRA1:DRD1"/>
    <mergeCell ref="DRE1:DRH1"/>
    <mergeCell ref="DPU1:DPX1"/>
    <mergeCell ref="DPY1:DQB1"/>
    <mergeCell ref="DQC1:DQF1"/>
    <mergeCell ref="DQG1:DQJ1"/>
    <mergeCell ref="DQK1:DQN1"/>
    <mergeCell ref="DPA1:DPD1"/>
    <mergeCell ref="DPE1:DPH1"/>
    <mergeCell ref="DPI1:DPL1"/>
    <mergeCell ref="DPM1:DPP1"/>
    <mergeCell ref="DPQ1:DPT1"/>
    <mergeCell ref="DOG1:DOJ1"/>
    <mergeCell ref="DOK1:DON1"/>
    <mergeCell ref="DOO1:DOR1"/>
    <mergeCell ref="DOS1:DOV1"/>
    <mergeCell ref="DOW1:DOZ1"/>
    <mergeCell ref="DNM1:DNP1"/>
    <mergeCell ref="DNQ1:DNT1"/>
    <mergeCell ref="DNU1:DNX1"/>
    <mergeCell ref="DNY1:DOB1"/>
    <mergeCell ref="DOC1:DOF1"/>
    <mergeCell ref="DMS1:DMV1"/>
    <mergeCell ref="DMW1:DMZ1"/>
    <mergeCell ref="DNA1:DND1"/>
    <mergeCell ref="DNE1:DNH1"/>
    <mergeCell ref="DNI1:DNL1"/>
    <mergeCell ref="DLY1:DMB1"/>
    <mergeCell ref="DMC1:DMF1"/>
    <mergeCell ref="DMG1:DMJ1"/>
    <mergeCell ref="DMK1:DMN1"/>
    <mergeCell ref="DMO1:DMR1"/>
    <mergeCell ref="DLE1:DLH1"/>
    <mergeCell ref="DLI1:DLL1"/>
    <mergeCell ref="DLM1:DLP1"/>
    <mergeCell ref="DLQ1:DLT1"/>
    <mergeCell ref="DLU1:DLX1"/>
    <mergeCell ref="DKK1:DKN1"/>
    <mergeCell ref="DKO1:DKR1"/>
    <mergeCell ref="DKS1:DKV1"/>
    <mergeCell ref="DKW1:DKZ1"/>
    <mergeCell ref="DLA1:DLD1"/>
    <mergeCell ref="DJQ1:DJT1"/>
    <mergeCell ref="DJU1:DJX1"/>
    <mergeCell ref="DJY1:DKB1"/>
    <mergeCell ref="DKC1:DKF1"/>
    <mergeCell ref="DKG1:DKJ1"/>
    <mergeCell ref="DIW1:DIZ1"/>
    <mergeCell ref="DJA1:DJD1"/>
    <mergeCell ref="DJE1:DJH1"/>
    <mergeCell ref="DJI1:DJL1"/>
    <mergeCell ref="DJM1:DJP1"/>
    <mergeCell ref="DIC1:DIF1"/>
    <mergeCell ref="DIG1:DIJ1"/>
    <mergeCell ref="DIK1:DIN1"/>
    <mergeCell ref="DIO1:DIR1"/>
    <mergeCell ref="DIS1:DIV1"/>
    <mergeCell ref="DHI1:DHL1"/>
    <mergeCell ref="DHM1:DHP1"/>
    <mergeCell ref="DHQ1:DHT1"/>
    <mergeCell ref="DHU1:DHX1"/>
    <mergeCell ref="DHY1:DIB1"/>
    <mergeCell ref="DGO1:DGR1"/>
    <mergeCell ref="DGS1:DGV1"/>
    <mergeCell ref="DGW1:DGZ1"/>
    <mergeCell ref="DHA1:DHD1"/>
    <mergeCell ref="DHE1:DHH1"/>
    <mergeCell ref="DFU1:DFX1"/>
    <mergeCell ref="DFY1:DGB1"/>
    <mergeCell ref="DGC1:DGF1"/>
    <mergeCell ref="DGG1:DGJ1"/>
    <mergeCell ref="DGK1:DGN1"/>
    <mergeCell ref="DFA1:DFD1"/>
    <mergeCell ref="DFE1:DFH1"/>
    <mergeCell ref="DFI1:DFL1"/>
    <mergeCell ref="DFM1:DFP1"/>
    <mergeCell ref="DFQ1:DFT1"/>
    <mergeCell ref="DEG1:DEJ1"/>
    <mergeCell ref="DEK1:DEN1"/>
    <mergeCell ref="DEO1:DER1"/>
    <mergeCell ref="DES1:DEV1"/>
    <mergeCell ref="DEW1:DEZ1"/>
    <mergeCell ref="DDM1:DDP1"/>
    <mergeCell ref="DDQ1:DDT1"/>
    <mergeCell ref="DDU1:DDX1"/>
    <mergeCell ref="DDY1:DEB1"/>
    <mergeCell ref="DEC1:DEF1"/>
    <mergeCell ref="DCS1:DCV1"/>
    <mergeCell ref="DCW1:DCZ1"/>
    <mergeCell ref="DDA1:DDD1"/>
    <mergeCell ref="DDE1:DDH1"/>
    <mergeCell ref="DDI1:DDL1"/>
    <mergeCell ref="DBY1:DCB1"/>
    <mergeCell ref="DCC1:DCF1"/>
    <mergeCell ref="DCG1:DCJ1"/>
    <mergeCell ref="DCK1:DCN1"/>
    <mergeCell ref="DCO1:DCR1"/>
    <mergeCell ref="DBE1:DBH1"/>
    <mergeCell ref="DBI1:DBL1"/>
    <mergeCell ref="DBM1:DBP1"/>
    <mergeCell ref="DBQ1:DBT1"/>
    <mergeCell ref="DBU1:DBX1"/>
    <mergeCell ref="DAK1:DAN1"/>
    <mergeCell ref="DAO1:DAR1"/>
    <mergeCell ref="DAS1:DAV1"/>
    <mergeCell ref="DAW1:DAZ1"/>
    <mergeCell ref="DBA1:DBD1"/>
    <mergeCell ref="CZQ1:CZT1"/>
    <mergeCell ref="CZU1:CZX1"/>
    <mergeCell ref="CZY1:DAB1"/>
    <mergeCell ref="DAC1:DAF1"/>
    <mergeCell ref="DAG1:DAJ1"/>
    <mergeCell ref="CYW1:CYZ1"/>
    <mergeCell ref="CZA1:CZD1"/>
    <mergeCell ref="CZE1:CZH1"/>
    <mergeCell ref="CZI1:CZL1"/>
    <mergeCell ref="CZM1:CZP1"/>
    <mergeCell ref="CYC1:CYF1"/>
    <mergeCell ref="CYG1:CYJ1"/>
    <mergeCell ref="CYK1:CYN1"/>
    <mergeCell ref="CYO1:CYR1"/>
    <mergeCell ref="CYS1:CYV1"/>
    <mergeCell ref="CXI1:CXL1"/>
    <mergeCell ref="CXM1:CXP1"/>
    <mergeCell ref="CXQ1:CXT1"/>
    <mergeCell ref="CXU1:CXX1"/>
    <mergeCell ref="CXY1:CYB1"/>
    <mergeCell ref="CWO1:CWR1"/>
    <mergeCell ref="CWS1:CWV1"/>
    <mergeCell ref="CWW1:CWZ1"/>
    <mergeCell ref="CXA1:CXD1"/>
    <mergeCell ref="CXE1:CXH1"/>
    <mergeCell ref="CVU1:CVX1"/>
    <mergeCell ref="CVY1:CWB1"/>
    <mergeCell ref="CWC1:CWF1"/>
    <mergeCell ref="CWG1:CWJ1"/>
    <mergeCell ref="CWK1:CWN1"/>
    <mergeCell ref="CVA1:CVD1"/>
    <mergeCell ref="CVE1:CVH1"/>
    <mergeCell ref="CVI1:CVL1"/>
    <mergeCell ref="CVM1:CVP1"/>
    <mergeCell ref="CVQ1:CVT1"/>
    <mergeCell ref="CUG1:CUJ1"/>
    <mergeCell ref="CUK1:CUN1"/>
    <mergeCell ref="CUO1:CUR1"/>
    <mergeCell ref="CUS1:CUV1"/>
    <mergeCell ref="CUW1:CUZ1"/>
    <mergeCell ref="CTM1:CTP1"/>
    <mergeCell ref="CTQ1:CTT1"/>
    <mergeCell ref="CTU1:CTX1"/>
    <mergeCell ref="CTY1:CUB1"/>
    <mergeCell ref="CUC1:CUF1"/>
    <mergeCell ref="CSS1:CSV1"/>
    <mergeCell ref="CSW1:CSZ1"/>
    <mergeCell ref="CTA1:CTD1"/>
    <mergeCell ref="CTE1:CTH1"/>
    <mergeCell ref="CTI1:CTL1"/>
    <mergeCell ref="CRY1:CSB1"/>
    <mergeCell ref="CSC1:CSF1"/>
    <mergeCell ref="CSG1:CSJ1"/>
    <mergeCell ref="CSK1:CSN1"/>
    <mergeCell ref="CSO1:CSR1"/>
    <mergeCell ref="CRE1:CRH1"/>
    <mergeCell ref="CRI1:CRL1"/>
    <mergeCell ref="CRM1:CRP1"/>
    <mergeCell ref="CRQ1:CRT1"/>
    <mergeCell ref="CRU1:CRX1"/>
    <mergeCell ref="CQK1:CQN1"/>
    <mergeCell ref="CQO1:CQR1"/>
    <mergeCell ref="CQS1:CQV1"/>
    <mergeCell ref="CQW1:CQZ1"/>
    <mergeCell ref="CRA1:CRD1"/>
    <mergeCell ref="CPQ1:CPT1"/>
    <mergeCell ref="CPU1:CPX1"/>
    <mergeCell ref="CPY1:CQB1"/>
    <mergeCell ref="CQC1:CQF1"/>
    <mergeCell ref="CQG1:CQJ1"/>
    <mergeCell ref="COW1:COZ1"/>
    <mergeCell ref="CPA1:CPD1"/>
    <mergeCell ref="CPE1:CPH1"/>
    <mergeCell ref="CPI1:CPL1"/>
    <mergeCell ref="CPM1:CPP1"/>
    <mergeCell ref="COC1:COF1"/>
    <mergeCell ref="COG1:COJ1"/>
    <mergeCell ref="COK1:CON1"/>
    <mergeCell ref="COO1:COR1"/>
    <mergeCell ref="COS1:COV1"/>
    <mergeCell ref="CNI1:CNL1"/>
    <mergeCell ref="CNM1:CNP1"/>
    <mergeCell ref="CNQ1:CNT1"/>
    <mergeCell ref="CNU1:CNX1"/>
    <mergeCell ref="CNY1:COB1"/>
    <mergeCell ref="CMO1:CMR1"/>
    <mergeCell ref="CMS1:CMV1"/>
    <mergeCell ref="CMW1:CMZ1"/>
    <mergeCell ref="CNA1:CND1"/>
    <mergeCell ref="CNE1:CNH1"/>
    <mergeCell ref="CLU1:CLX1"/>
    <mergeCell ref="CLY1:CMB1"/>
    <mergeCell ref="CMC1:CMF1"/>
    <mergeCell ref="CMG1:CMJ1"/>
    <mergeCell ref="CMK1:CMN1"/>
    <mergeCell ref="CLA1:CLD1"/>
    <mergeCell ref="CLE1:CLH1"/>
    <mergeCell ref="CLI1:CLL1"/>
    <mergeCell ref="CLM1:CLP1"/>
    <mergeCell ref="CLQ1:CLT1"/>
    <mergeCell ref="CKG1:CKJ1"/>
    <mergeCell ref="CKK1:CKN1"/>
    <mergeCell ref="CKO1:CKR1"/>
    <mergeCell ref="CKS1:CKV1"/>
    <mergeCell ref="CKW1:CKZ1"/>
    <mergeCell ref="CJM1:CJP1"/>
    <mergeCell ref="CJQ1:CJT1"/>
    <mergeCell ref="CJU1:CJX1"/>
    <mergeCell ref="CJY1:CKB1"/>
    <mergeCell ref="CKC1:CKF1"/>
    <mergeCell ref="CIS1:CIV1"/>
    <mergeCell ref="CIW1:CIZ1"/>
    <mergeCell ref="CJA1:CJD1"/>
    <mergeCell ref="CJE1:CJH1"/>
    <mergeCell ref="CJI1:CJL1"/>
    <mergeCell ref="CHY1:CIB1"/>
    <mergeCell ref="CIC1:CIF1"/>
    <mergeCell ref="CIG1:CIJ1"/>
    <mergeCell ref="CIK1:CIN1"/>
    <mergeCell ref="CIO1:CIR1"/>
    <mergeCell ref="CHE1:CHH1"/>
    <mergeCell ref="CHI1:CHL1"/>
    <mergeCell ref="CHM1:CHP1"/>
    <mergeCell ref="CHQ1:CHT1"/>
    <mergeCell ref="CHU1:CHX1"/>
    <mergeCell ref="CGK1:CGN1"/>
    <mergeCell ref="CGO1:CGR1"/>
    <mergeCell ref="CGS1:CGV1"/>
    <mergeCell ref="CGW1:CGZ1"/>
    <mergeCell ref="CHA1:CHD1"/>
    <mergeCell ref="CFQ1:CFT1"/>
    <mergeCell ref="CFU1:CFX1"/>
    <mergeCell ref="CFY1:CGB1"/>
    <mergeCell ref="CGC1:CGF1"/>
    <mergeCell ref="CGG1:CGJ1"/>
    <mergeCell ref="CEW1:CEZ1"/>
    <mergeCell ref="CFA1:CFD1"/>
    <mergeCell ref="CFE1:CFH1"/>
    <mergeCell ref="CFI1:CFL1"/>
    <mergeCell ref="CFM1:CFP1"/>
    <mergeCell ref="CEC1:CEF1"/>
    <mergeCell ref="CEG1:CEJ1"/>
    <mergeCell ref="CEK1:CEN1"/>
    <mergeCell ref="CEO1:CER1"/>
    <mergeCell ref="CES1:CEV1"/>
    <mergeCell ref="CDI1:CDL1"/>
    <mergeCell ref="CDM1:CDP1"/>
    <mergeCell ref="CDQ1:CDT1"/>
    <mergeCell ref="CDU1:CDX1"/>
    <mergeCell ref="CDY1:CEB1"/>
    <mergeCell ref="CCO1:CCR1"/>
    <mergeCell ref="CCS1:CCV1"/>
    <mergeCell ref="CCW1:CCZ1"/>
    <mergeCell ref="CDA1:CDD1"/>
    <mergeCell ref="CDE1:CDH1"/>
    <mergeCell ref="CBU1:CBX1"/>
    <mergeCell ref="CBY1:CCB1"/>
    <mergeCell ref="CCC1:CCF1"/>
    <mergeCell ref="CCG1:CCJ1"/>
    <mergeCell ref="CCK1:CCN1"/>
    <mergeCell ref="CBA1:CBD1"/>
    <mergeCell ref="CBE1:CBH1"/>
    <mergeCell ref="CBI1:CBL1"/>
    <mergeCell ref="CBM1:CBP1"/>
    <mergeCell ref="CBQ1:CBT1"/>
    <mergeCell ref="CAG1:CAJ1"/>
    <mergeCell ref="CAK1:CAN1"/>
    <mergeCell ref="CAO1:CAR1"/>
    <mergeCell ref="CAS1:CAV1"/>
    <mergeCell ref="CAW1:CAZ1"/>
    <mergeCell ref="BZM1:BZP1"/>
    <mergeCell ref="BZQ1:BZT1"/>
    <mergeCell ref="BZU1:BZX1"/>
    <mergeCell ref="BZY1:CAB1"/>
    <mergeCell ref="CAC1:CAF1"/>
    <mergeCell ref="BYS1:BYV1"/>
    <mergeCell ref="BYW1:BYZ1"/>
    <mergeCell ref="BZA1:BZD1"/>
    <mergeCell ref="BZE1:BZH1"/>
    <mergeCell ref="BZI1:BZL1"/>
    <mergeCell ref="BXY1:BYB1"/>
    <mergeCell ref="BYC1:BYF1"/>
    <mergeCell ref="BYG1:BYJ1"/>
    <mergeCell ref="BYK1:BYN1"/>
    <mergeCell ref="BYO1:BYR1"/>
    <mergeCell ref="BXE1:BXH1"/>
    <mergeCell ref="BXI1:BXL1"/>
    <mergeCell ref="BXM1:BXP1"/>
    <mergeCell ref="BXQ1:BXT1"/>
    <mergeCell ref="BXU1:BXX1"/>
    <mergeCell ref="BWK1:BWN1"/>
    <mergeCell ref="BWO1:BWR1"/>
    <mergeCell ref="BWS1:BWV1"/>
    <mergeCell ref="BWW1:BWZ1"/>
    <mergeCell ref="BXA1:BXD1"/>
    <mergeCell ref="BVQ1:BVT1"/>
    <mergeCell ref="BVU1:BVX1"/>
    <mergeCell ref="BVY1:BWB1"/>
    <mergeCell ref="BWC1:BWF1"/>
    <mergeCell ref="BWG1:BWJ1"/>
    <mergeCell ref="BUW1:BUZ1"/>
    <mergeCell ref="BVA1:BVD1"/>
    <mergeCell ref="BVE1:BVH1"/>
    <mergeCell ref="BVI1:BVL1"/>
    <mergeCell ref="BVM1:BVP1"/>
    <mergeCell ref="BUC1:BUF1"/>
    <mergeCell ref="BUG1:BUJ1"/>
    <mergeCell ref="BUK1:BUN1"/>
    <mergeCell ref="BUO1:BUR1"/>
    <mergeCell ref="BUS1:BUV1"/>
    <mergeCell ref="BTI1:BTL1"/>
    <mergeCell ref="BTM1:BTP1"/>
    <mergeCell ref="BTQ1:BTT1"/>
    <mergeCell ref="BTU1:BTX1"/>
    <mergeCell ref="BTY1:BUB1"/>
    <mergeCell ref="BSO1:BSR1"/>
    <mergeCell ref="BSS1:BSV1"/>
    <mergeCell ref="BSW1:BSZ1"/>
    <mergeCell ref="BTA1:BTD1"/>
    <mergeCell ref="BTE1:BTH1"/>
    <mergeCell ref="BRU1:BRX1"/>
    <mergeCell ref="BRY1:BSB1"/>
    <mergeCell ref="BSC1:BSF1"/>
    <mergeCell ref="BSG1:BSJ1"/>
    <mergeCell ref="BSK1:BSN1"/>
    <mergeCell ref="BRA1:BRD1"/>
    <mergeCell ref="BRE1:BRH1"/>
    <mergeCell ref="BRI1:BRL1"/>
    <mergeCell ref="BRM1:BRP1"/>
    <mergeCell ref="BRQ1:BRT1"/>
    <mergeCell ref="BQG1:BQJ1"/>
    <mergeCell ref="BQK1:BQN1"/>
    <mergeCell ref="BQO1:BQR1"/>
    <mergeCell ref="BQS1:BQV1"/>
    <mergeCell ref="BQW1:BQZ1"/>
    <mergeCell ref="BPM1:BPP1"/>
    <mergeCell ref="BPQ1:BPT1"/>
    <mergeCell ref="BPU1:BPX1"/>
    <mergeCell ref="BPY1:BQB1"/>
    <mergeCell ref="BQC1:BQF1"/>
    <mergeCell ref="BOS1:BOV1"/>
    <mergeCell ref="BOW1:BOZ1"/>
    <mergeCell ref="BPA1:BPD1"/>
    <mergeCell ref="BPE1:BPH1"/>
    <mergeCell ref="BPI1:BPL1"/>
    <mergeCell ref="BNY1:BOB1"/>
    <mergeCell ref="BOC1:BOF1"/>
    <mergeCell ref="BOG1:BOJ1"/>
    <mergeCell ref="BOK1:BON1"/>
    <mergeCell ref="BOO1:BOR1"/>
    <mergeCell ref="BNE1:BNH1"/>
    <mergeCell ref="BNI1:BNL1"/>
    <mergeCell ref="BNM1:BNP1"/>
    <mergeCell ref="BNQ1:BNT1"/>
    <mergeCell ref="BNU1:BNX1"/>
    <mergeCell ref="BMK1:BMN1"/>
    <mergeCell ref="BMO1:BMR1"/>
    <mergeCell ref="BMS1:BMV1"/>
    <mergeCell ref="BMW1:BMZ1"/>
    <mergeCell ref="BNA1:BND1"/>
    <mergeCell ref="BLQ1:BLT1"/>
    <mergeCell ref="BLU1:BLX1"/>
    <mergeCell ref="BLY1:BMB1"/>
    <mergeCell ref="BMC1:BMF1"/>
    <mergeCell ref="BMG1:BMJ1"/>
    <mergeCell ref="BKW1:BKZ1"/>
    <mergeCell ref="BLA1:BLD1"/>
    <mergeCell ref="BLE1:BLH1"/>
    <mergeCell ref="BLI1:BLL1"/>
    <mergeCell ref="BLM1:BLP1"/>
    <mergeCell ref="BKC1:BKF1"/>
    <mergeCell ref="BKG1:BKJ1"/>
    <mergeCell ref="BKK1:BKN1"/>
    <mergeCell ref="BKO1:BKR1"/>
    <mergeCell ref="BKS1:BKV1"/>
    <mergeCell ref="BJI1:BJL1"/>
    <mergeCell ref="BJM1:BJP1"/>
    <mergeCell ref="BJQ1:BJT1"/>
    <mergeCell ref="BJU1:BJX1"/>
    <mergeCell ref="BJY1:BKB1"/>
    <mergeCell ref="BIO1:BIR1"/>
    <mergeCell ref="BIS1:BIV1"/>
    <mergeCell ref="BIW1:BIZ1"/>
    <mergeCell ref="BJA1:BJD1"/>
    <mergeCell ref="BJE1:BJH1"/>
    <mergeCell ref="BHU1:BHX1"/>
    <mergeCell ref="BHY1:BIB1"/>
    <mergeCell ref="BIC1:BIF1"/>
    <mergeCell ref="BIG1:BIJ1"/>
    <mergeCell ref="BIK1:BIN1"/>
    <mergeCell ref="BHA1:BHD1"/>
    <mergeCell ref="BHE1:BHH1"/>
    <mergeCell ref="BHI1:BHL1"/>
    <mergeCell ref="BHM1:BHP1"/>
    <mergeCell ref="BHQ1:BHT1"/>
    <mergeCell ref="BGG1:BGJ1"/>
    <mergeCell ref="BGK1:BGN1"/>
    <mergeCell ref="BGO1:BGR1"/>
    <mergeCell ref="BGS1:BGV1"/>
    <mergeCell ref="BGW1:BGZ1"/>
    <mergeCell ref="BFM1:BFP1"/>
    <mergeCell ref="BFQ1:BFT1"/>
    <mergeCell ref="BFU1:BFX1"/>
    <mergeCell ref="BFY1:BGB1"/>
    <mergeCell ref="BGC1:BGF1"/>
    <mergeCell ref="BES1:BEV1"/>
    <mergeCell ref="BEW1:BEZ1"/>
    <mergeCell ref="BFA1:BFD1"/>
    <mergeCell ref="BFE1:BFH1"/>
    <mergeCell ref="BFI1:BFL1"/>
    <mergeCell ref="BDY1:BEB1"/>
    <mergeCell ref="BEC1:BEF1"/>
    <mergeCell ref="BEG1:BEJ1"/>
    <mergeCell ref="BEK1:BEN1"/>
    <mergeCell ref="BEO1:BER1"/>
    <mergeCell ref="BDE1:BDH1"/>
    <mergeCell ref="BDI1:BDL1"/>
    <mergeCell ref="BDM1:BDP1"/>
    <mergeCell ref="BDQ1:BDT1"/>
    <mergeCell ref="BDU1:BDX1"/>
    <mergeCell ref="BCK1:BCN1"/>
    <mergeCell ref="BCO1:BCR1"/>
    <mergeCell ref="BCS1:BCV1"/>
    <mergeCell ref="BCW1:BCZ1"/>
    <mergeCell ref="BDA1:BDD1"/>
    <mergeCell ref="BBQ1:BBT1"/>
    <mergeCell ref="BBU1:BBX1"/>
    <mergeCell ref="BBY1:BCB1"/>
    <mergeCell ref="BCC1:BCF1"/>
    <mergeCell ref="BCG1:BCJ1"/>
    <mergeCell ref="BAW1:BAZ1"/>
    <mergeCell ref="BBA1:BBD1"/>
    <mergeCell ref="BBE1:BBH1"/>
    <mergeCell ref="BBI1:BBL1"/>
    <mergeCell ref="BBM1:BBP1"/>
    <mergeCell ref="BAC1:BAF1"/>
    <mergeCell ref="BAG1:BAJ1"/>
    <mergeCell ref="BAK1:BAN1"/>
    <mergeCell ref="BAO1:BAR1"/>
    <mergeCell ref="BAS1:BAV1"/>
    <mergeCell ref="AZI1:AZL1"/>
    <mergeCell ref="AZM1:AZP1"/>
    <mergeCell ref="AZQ1:AZT1"/>
    <mergeCell ref="AZU1:AZX1"/>
    <mergeCell ref="AZY1:BAB1"/>
    <mergeCell ref="AYO1:AYR1"/>
    <mergeCell ref="AYS1:AYV1"/>
    <mergeCell ref="AYW1:AYZ1"/>
    <mergeCell ref="AZA1:AZD1"/>
    <mergeCell ref="AZE1:AZH1"/>
    <mergeCell ref="AXU1:AXX1"/>
    <mergeCell ref="AXY1:AYB1"/>
    <mergeCell ref="AYC1:AYF1"/>
    <mergeCell ref="AYG1:AYJ1"/>
    <mergeCell ref="AYK1:AYN1"/>
    <mergeCell ref="AXA1:AXD1"/>
    <mergeCell ref="AXE1:AXH1"/>
    <mergeCell ref="AXI1:AXL1"/>
    <mergeCell ref="AXM1:AXP1"/>
    <mergeCell ref="AXQ1:AXT1"/>
    <mergeCell ref="AWG1:AWJ1"/>
    <mergeCell ref="AWK1:AWN1"/>
    <mergeCell ref="AWO1:AWR1"/>
    <mergeCell ref="AWS1:AWV1"/>
    <mergeCell ref="AWW1:AWZ1"/>
    <mergeCell ref="AVM1:AVP1"/>
    <mergeCell ref="AVQ1:AVT1"/>
    <mergeCell ref="AVU1:AVX1"/>
    <mergeCell ref="AVY1:AWB1"/>
    <mergeCell ref="AWC1:AWF1"/>
    <mergeCell ref="AUS1:AUV1"/>
    <mergeCell ref="AUW1:AUZ1"/>
    <mergeCell ref="AVA1:AVD1"/>
    <mergeCell ref="AVE1:AVH1"/>
    <mergeCell ref="AVI1:AVL1"/>
    <mergeCell ref="ATY1:AUB1"/>
    <mergeCell ref="AUC1:AUF1"/>
    <mergeCell ref="AUG1:AUJ1"/>
    <mergeCell ref="AUK1:AUN1"/>
    <mergeCell ref="AUO1:AUR1"/>
    <mergeCell ref="ATE1:ATH1"/>
    <mergeCell ref="ATI1:ATL1"/>
    <mergeCell ref="ATM1:ATP1"/>
    <mergeCell ref="ATQ1:ATT1"/>
    <mergeCell ref="ATU1:ATX1"/>
    <mergeCell ref="ASK1:ASN1"/>
    <mergeCell ref="ASO1:ASR1"/>
    <mergeCell ref="ASS1:ASV1"/>
    <mergeCell ref="ASW1:ASZ1"/>
    <mergeCell ref="ATA1:ATD1"/>
    <mergeCell ref="ARQ1:ART1"/>
    <mergeCell ref="ARU1:ARX1"/>
    <mergeCell ref="ARY1:ASB1"/>
    <mergeCell ref="ASC1:ASF1"/>
    <mergeCell ref="ASG1:ASJ1"/>
    <mergeCell ref="AQW1:AQZ1"/>
    <mergeCell ref="ARA1:ARD1"/>
    <mergeCell ref="ARE1:ARH1"/>
    <mergeCell ref="ARI1:ARL1"/>
    <mergeCell ref="ARM1:ARP1"/>
    <mergeCell ref="AQC1:AQF1"/>
    <mergeCell ref="AQG1:AQJ1"/>
    <mergeCell ref="AQK1:AQN1"/>
    <mergeCell ref="AQO1:AQR1"/>
    <mergeCell ref="AQS1:AQV1"/>
    <mergeCell ref="API1:APL1"/>
    <mergeCell ref="APM1:APP1"/>
    <mergeCell ref="APQ1:APT1"/>
    <mergeCell ref="APU1:APX1"/>
    <mergeCell ref="APY1:AQB1"/>
    <mergeCell ref="AOO1:AOR1"/>
    <mergeCell ref="AOS1:AOV1"/>
    <mergeCell ref="AOW1:AOZ1"/>
    <mergeCell ref="APA1:APD1"/>
    <mergeCell ref="APE1:APH1"/>
    <mergeCell ref="ANU1:ANX1"/>
    <mergeCell ref="ANY1:AOB1"/>
    <mergeCell ref="AOC1:AOF1"/>
    <mergeCell ref="AOG1:AOJ1"/>
    <mergeCell ref="AOK1:AON1"/>
    <mergeCell ref="ANA1:AND1"/>
    <mergeCell ref="ANE1:ANH1"/>
    <mergeCell ref="ANI1:ANL1"/>
    <mergeCell ref="ANM1:ANP1"/>
    <mergeCell ref="ANQ1:ANT1"/>
    <mergeCell ref="AMG1:AMJ1"/>
    <mergeCell ref="AMK1:AMN1"/>
    <mergeCell ref="AMO1:AMR1"/>
    <mergeCell ref="AMS1:AMV1"/>
    <mergeCell ref="AMW1:AMZ1"/>
    <mergeCell ref="ALM1:ALP1"/>
    <mergeCell ref="ALQ1:ALT1"/>
    <mergeCell ref="ALU1:ALX1"/>
    <mergeCell ref="ALY1:AMB1"/>
    <mergeCell ref="AMC1:AMF1"/>
    <mergeCell ref="AKS1:AKV1"/>
    <mergeCell ref="AKW1:AKZ1"/>
    <mergeCell ref="ALA1:ALD1"/>
    <mergeCell ref="ALE1:ALH1"/>
    <mergeCell ref="ALI1:ALL1"/>
    <mergeCell ref="AJY1:AKB1"/>
    <mergeCell ref="AKC1:AKF1"/>
    <mergeCell ref="AKG1:AKJ1"/>
    <mergeCell ref="AKK1:AKN1"/>
    <mergeCell ref="AKO1:AKR1"/>
    <mergeCell ref="AJE1:AJH1"/>
    <mergeCell ref="AJI1:AJL1"/>
    <mergeCell ref="AJM1:AJP1"/>
    <mergeCell ref="AJQ1:AJT1"/>
    <mergeCell ref="AJU1:AJX1"/>
    <mergeCell ref="AIK1:AIN1"/>
    <mergeCell ref="AIO1:AIR1"/>
    <mergeCell ref="AIS1:AIV1"/>
    <mergeCell ref="AIW1:AIZ1"/>
    <mergeCell ref="AJA1:AJD1"/>
    <mergeCell ref="AHQ1:AHT1"/>
    <mergeCell ref="AHU1:AHX1"/>
    <mergeCell ref="AHY1:AIB1"/>
    <mergeCell ref="AIC1:AIF1"/>
    <mergeCell ref="AIG1:AIJ1"/>
    <mergeCell ref="AGW1:AGZ1"/>
    <mergeCell ref="AHA1:AHD1"/>
    <mergeCell ref="AHE1:AHH1"/>
    <mergeCell ref="AHI1:AHL1"/>
    <mergeCell ref="AHM1:AHP1"/>
    <mergeCell ref="AGC1:AGF1"/>
    <mergeCell ref="AGG1:AGJ1"/>
    <mergeCell ref="AGK1:AGN1"/>
    <mergeCell ref="AGO1:AGR1"/>
    <mergeCell ref="AGS1:AGV1"/>
    <mergeCell ref="AFI1:AFL1"/>
    <mergeCell ref="AFM1:AFP1"/>
    <mergeCell ref="AFQ1:AFT1"/>
    <mergeCell ref="AFU1:AFX1"/>
    <mergeCell ref="AFY1:AGB1"/>
    <mergeCell ref="AEO1:AER1"/>
    <mergeCell ref="AES1:AEV1"/>
    <mergeCell ref="AEW1:AEZ1"/>
    <mergeCell ref="AFA1:AFD1"/>
    <mergeCell ref="AFE1:AFH1"/>
    <mergeCell ref="ADU1:ADX1"/>
    <mergeCell ref="ADY1:AEB1"/>
    <mergeCell ref="AEC1:AEF1"/>
    <mergeCell ref="AEG1:AEJ1"/>
    <mergeCell ref="AEK1:AEN1"/>
    <mergeCell ref="ADA1:ADD1"/>
    <mergeCell ref="ADE1:ADH1"/>
    <mergeCell ref="ADI1:ADL1"/>
    <mergeCell ref="ADM1:ADP1"/>
    <mergeCell ref="ADQ1:ADT1"/>
    <mergeCell ref="ACG1:ACJ1"/>
    <mergeCell ref="ACK1:ACN1"/>
    <mergeCell ref="ACO1:ACR1"/>
    <mergeCell ref="ACS1:ACV1"/>
    <mergeCell ref="ACW1:ACZ1"/>
    <mergeCell ref="ABM1:ABP1"/>
    <mergeCell ref="ABQ1:ABT1"/>
    <mergeCell ref="ABU1:ABX1"/>
    <mergeCell ref="ABY1:ACB1"/>
    <mergeCell ref="ACC1:ACF1"/>
    <mergeCell ref="AAS1:AAV1"/>
    <mergeCell ref="AAW1:AAZ1"/>
    <mergeCell ref="ABA1:ABD1"/>
    <mergeCell ref="ABE1:ABH1"/>
    <mergeCell ref="ABI1:ABL1"/>
    <mergeCell ref="ZY1:AAB1"/>
    <mergeCell ref="AAC1:AAF1"/>
    <mergeCell ref="AAG1:AAJ1"/>
    <mergeCell ref="AAK1:AAN1"/>
    <mergeCell ref="AAO1:AAR1"/>
    <mergeCell ref="ZE1:ZH1"/>
    <mergeCell ref="ZI1:ZL1"/>
    <mergeCell ref="ZM1:ZP1"/>
    <mergeCell ref="ZQ1:ZT1"/>
    <mergeCell ref="ZU1:ZX1"/>
    <mergeCell ref="YK1:YN1"/>
    <mergeCell ref="YO1:YR1"/>
    <mergeCell ref="YS1:YV1"/>
    <mergeCell ref="YW1:YZ1"/>
    <mergeCell ref="ZA1:ZD1"/>
    <mergeCell ref="XQ1:XT1"/>
    <mergeCell ref="XU1:XX1"/>
    <mergeCell ref="XY1:YB1"/>
    <mergeCell ref="YC1:YF1"/>
    <mergeCell ref="YG1:YJ1"/>
    <mergeCell ref="WW1:WZ1"/>
    <mergeCell ref="XA1:XD1"/>
    <mergeCell ref="XE1:XH1"/>
    <mergeCell ref="XI1:XL1"/>
    <mergeCell ref="XM1:XP1"/>
    <mergeCell ref="WC1:WF1"/>
    <mergeCell ref="WG1:WJ1"/>
    <mergeCell ref="WK1:WN1"/>
    <mergeCell ref="WO1:WR1"/>
    <mergeCell ref="WS1:WV1"/>
    <mergeCell ref="VI1:VL1"/>
    <mergeCell ref="VM1:VP1"/>
    <mergeCell ref="VQ1:VT1"/>
    <mergeCell ref="VU1:VX1"/>
    <mergeCell ref="VY1:WB1"/>
    <mergeCell ref="UO1:UR1"/>
    <mergeCell ref="US1:UV1"/>
    <mergeCell ref="UW1:UZ1"/>
    <mergeCell ref="VA1:VD1"/>
    <mergeCell ref="VE1:VH1"/>
    <mergeCell ref="TU1:TX1"/>
    <mergeCell ref="TY1:UB1"/>
    <mergeCell ref="UC1:UF1"/>
    <mergeCell ref="UG1:UJ1"/>
    <mergeCell ref="UK1:UN1"/>
    <mergeCell ref="TA1:TD1"/>
    <mergeCell ref="TE1:TH1"/>
    <mergeCell ref="TI1:TL1"/>
    <mergeCell ref="TM1:TP1"/>
    <mergeCell ref="TQ1:TT1"/>
    <mergeCell ref="SG1:SJ1"/>
    <mergeCell ref="SK1:SN1"/>
    <mergeCell ref="SO1:SR1"/>
    <mergeCell ref="SS1:SV1"/>
    <mergeCell ref="SW1:SZ1"/>
    <mergeCell ref="RM1:RP1"/>
    <mergeCell ref="RQ1:RT1"/>
    <mergeCell ref="RU1:RX1"/>
    <mergeCell ref="RY1:SB1"/>
    <mergeCell ref="SC1:SF1"/>
    <mergeCell ref="QS1:QV1"/>
    <mergeCell ref="QW1:QZ1"/>
    <mergeCell ref="RA1:RD1"/>
    <mergeCell ref="RE1:RH1"/>
    <mergeCell ref="RI1:RL1"/>
    <mergeCell ref="PY1:QB1"/>
    <mergeCell ref="QC1:QF1"/>
    <mergeCell ref="QG1:QJ1"/>
    <mergeCell ref="QK1:QN1"/>
    <mergeCell ref="QO1:QR1"/>
    <mergeCell ref="PE1:PH1"/>
    <mergeCell ref="PI1:PL1"/>
    <mergeCell ref="PM1:PP1"/>
    <mergeCell ref="PQ1:PT1"/>
    <mergeCell ref="PU1:PX1"/>
    <mergeCell ref="OK1:ON1"/>
    <mergeCell ref="OO1:OR1"/>
    <mergeCell ref="OS1:OV1"/>
    <mergeCell ref="OW1:OZ1"/>
    <mergeCell ref="PA1:PD1"/>
    <mergeCell ref="NQ1:NT1"/>
    <mergeCell ref="NU1:NX1"/>
    <mergeCell ref="NY1:OB1"/>
    <mergeCell ref="OC1:OF1"/>
    <mergeCell ref="OG1:OJ1"/>
    <mergeCell ref="MW1:MZ1"/>
    <mergeCell ref="NA1:ND1"/>
    <mergeCell ref="NE1:NH1"/>
    <mergeCell ref="NI1:NL1"/>
    <mergeCell ref="NM1:NP1"/>
    <mergeCell ref="MC1:MF1"/>
    <mergeCell ref="MG1:MJ1"/>
    <mergeCell ref="MK1:MN1"/>
    <mergeCell ref="MO1:MR1"/>
    <mergeCell ref="MS1:MV1"/>
    <mergeCell ref="LI1:LL1"/>
    <mergeCell ref="LM1:LP1"/>
    <mergeCell ref="LQ1:LT1"/>
    <mergeCell ref="LU1:LX1"/>
    <mergeCell ref="LY1:MB1"/>
    <mergeCell ref="KO1:KR1"/>
    <mergeCell ref="KS1:KV1"/>
    <mergeCell ref="KW1:KZ1"/>
    <mergeCell ref="LA1:LD1"/>
    <mergeCell ref="LE1:LH1"/>
    <mergeCell ref="JU1:JX1"/>
    <mergeCell ref="JY1:KB1"/>
    <mergeCell ref="KC1:KF1"/>
    <mergeCell ref="KG1:KJ1"/>
    <mergeCell ref="KK1:KN1"/>
    <mergeCell ref="JA1:JD1"/>
    <mergeCell ref="JE1:JH1"/>
    <mergeCell ref="JI1:JL1"/>
    <mergeCell ref="JM1:JP1"/>
    <mergeCell ref="JQ1:JT1"/>
    <mergeCell ref="IG1:IJ1"/>
    <mergeCell ref="IK1:IN1"/>
    <mergeCell ref="IO1:IR1"/>
    <mergeCell ref="IS1:IV1"/>
    <mergeCell ref="IW1:IZ1"/>
    <mergeCell ref="HM1:HP1"/>
    <mergeCell ref="HQ1:HT1"/>
    <mergeCell ref="HU1:HX1"/>
    <mergeCell ref="HY1:IB1"/>
    <mergeCell ref="IC1:IF1"/>
    <mergeCell ref="GS1:GV1"/>
    <mergeCell ref="GW1:GZ1"/>
    <mergeCell ref="HA1:HD1"/>
    <mergeCell ref="HE1:HH1"/>
    <mergeCell ref="HI1:HL1"/>
    <mergeCell ref="FY1:GB1"/>
    <mergeCell ref="GC1:GF1"/>
    <mergeCell ref="GG1:GJ1"/>
    <mergeCell ref="GK1:GN1"/>
    <mergeCell ref="GO1:GR1"/>
    <mergeCell ref="FE1:FH1"/>
    <mergeCell ref="FI1:FL1"/>
    <mergeCell ref="FM1:FP1"/>
    <mergeCell ref="FQ1:FT1"/>
    <mergeCell ref="FU1:FX1"/>
    <mergeCell ref="EK1:EN1"/>
    <mergeCell ref="EO1:ER1"/>
    <mergeCell ref="ES1:EV1"/>
    <mergeCell ref="EW1:EZ1"/>
    <mergeCell ref="FA1:FD1"/>
    <mergeCell ref="DY1:EB1"/>
    <mergeCell ref="EC1:EF1"/>
    <mergeCell ref="EG1:EJ1"/>
    <mergeCell ref="CW1:CZ1"/>
    <mergeCell ref="DA1:DD1"/>
    <mergeCell ref="DE1:DH1"/>
    <mergeCell ref="DI1:DL1"/>
    <mergeCell ref="DM1:DP1"/>
    <mergeCell ref="CC1:CF1"/>
    <mergeCell ref="CG1:CJ1"/>
    <mergeCell ref="CK1:CN1"/>
    <mergeCell ref="CO1:CR1"/>
    <mergeCell ref="CS1:CV1"/>
    <mergeCell ref="BI1:BL1"/>
    <mergeCell ref="BM1:BP1"/>
    <mergeCell ref="BQ1:BT1"/>
    <mergeCell ref="BU1:BX1"/>
    <mergeCell ref="BY1:CB1"/>
    <mergeCell ref="AO1:AR1"/>
    <mergeCell ref="AS1:AV1"/>
    <mergeCell ref="AW1:AZ1"/>
    <mergeCell ref="BA1:BD1"/>
    <mergeCell ref="BE1:BH1"/>
    <mergeCell ref="U1:X1"/>
    <mergeCell ref="Y1:AB1"/>
    <mergeCell ref="AC1:AF1"/>
    <mergeCell ref="AG1:AJ1"/>
    <mergeCell ref="AK1:AN1"/>
    <mergeCell ref="A1:D1"/>
    <mergeCell ref="E1:H1"/>
    <mergeCell ref="I1:L1"/>
    <mergeCell ref="M1:P1"/>
    <mergeCell ref="Q1:T1"/>
    <mergeCell ref="DQ1:DT1"/>
    <mergeCell ref="DU1:DX1"/>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5A2C-1717-4D21-BB6C-DDA2350F5152}">
  <dimension ref="A1:M108"/>
  <sheetViews>
    <sheetView showGridLines="0" zoomScale="90" zoomScaleNormal="90" workbookViewId="0">
      <selection activeCell="A101" activeCellId="3" sqref="A80:XFD85 A87:XFD92 A94:XFD99 A101:XFD107"/>
    </sheetView>
  </sheetViews>
  <sheetFormatPr defaultColWidth="11.453125" defaultRowHeight="14" x14ac:dyDescent="0.3"/>
  <cols>
    <col min="1" max="1" width="62.26953125" style="37" customWidth="1"/>
    <col min="2" max="2" width="47.453125" style="37" customWidth="1"/>
    <col min="3" max="3" width="68.453125" style="37" customWidth="1"/>
    <col min="4" max="4" width="29.26953125" style="37" customWidth="1"/>
    <col min="5" max="5" width="40" style="37" customWidth="1"/>
    <col min="6" max="6" width="31.81640625" style="37" customWidth="1"/>
    <col min="7" max="7" width="32" style="37" customWidth="1"/>
    <col min="8" max="8" width="30.81640625" style="37" customWidth="1"/>
    <col min="9" max="9" width="31.26953125" style="37" customWidth="1"/>
    <col min="10" max="10" width="19.453125" style="37" customWidth="1"/>
    <col min="11" max="11" width="24.453125" style="37" customWidth="1"/>
    <col min="12" max="12" width="18" style="37" bestFit="1" customWidth="1"/>
    <col min="13" max="16384" width="11.453125" style="37"/>
  </cols>
  <sheetData>
    <row r="1" spans="1:12" s="62" customFormat="1" ht="30" customHeight="1" thickBot="1" x14ac:dyDescent="0.4">
      <c r="A1" s="935" t="s">
        <v>1143</v>
      </c>
      <c r="B1" s="935"/>
      <c r="C1" s="935"/>
      <c r="D1" s="935"/>
      <c r="E1" s="935"/>
      <c r="F1" s="935"/>
      <c r="G1" s="935"/>
      <c r="H1" s="935"/>
      <c r="I1" s="935"/>
      <c r="J1" s="935"/>
      <c r="K1" s="935"/>
      <c r="L1" s="935"/>
    </row>
    <row r="2" spans="1:12" x14ac:dyDescent="0.3">
      <c r="A2" s="17" t="s">
        <v>943</v>
      </c>
    </row>
    <row r="3" spans="1:12" x14ac:dyDescent="0.3">
      <c r="C3" s="94"/>
      <c r="D3" s="61"/>
    </row>
    <row r="4" spans="1:12" s="49" customFormat="1" ht="11.5" x14ac:dyDescent="0.35">
      <c r="A4" s="340" t="s">
        <v>253</v>
      </c>
      <c r="B4" s="340" t="s">
        <v>254</v>
      </c>
      <c r="C4" s="341" t="s">
        <v>1005</v>
      </c>
      <c r="D4" s="340" t="s">
        <v>702</v>
      </c>
      <c r="E4" s="340" t="s">
        <v>703</v>
      </c>
      <c r="F4" s="340" t="s">
        <v>704</v>
      </c>
      <c r="G4" s="340" t="s">
        <v>255</v>
      </c>
      <c r="H4" s="340" t="s">
        <v>256</v>
      </c>
    </row>
    <row r="5" spans="1:12" s="42" customFormat="1" ht="11.5" x14ac:dyDescent="0.35">
      <c r="A5" s="209" t="s">
        <v>471</v>
      </c>
      <c r="B5" s="296"/>
      <c r="C5" s="342"/>
      <c r="D5" s="343"/>
      <c r="E5" s="343"/>
      <c r="F5" s="343"/>
      <c r="G5" s="344"/>
      <c r="H5" s="296"/>
    </row>
    <row r="6" spans="1:12" s="23" customFormat="1" ht="11.5" x14ac:dyDescent="0.35">
      <c r="A6" s="494" t="s">
        <v>705</v>
      </c>
      <c r="B6" s="497" t="s">
        <v>706</v>
      </c>
      <c r="C6" s="581">
        <f>SUM(C7,C11)</f>
        <v>81918.5</v>
      </c>
      <c r="D6" s="582">
        <f>SUM(D7+D11)</f>
        <v>30447</v>
      </c>
      <c r="E6" s="583">
        <f t="shared" ref="E6:F6" si="0">SUM(E7+E11)</f>
        <v>12963</v>
      </c>
      <c r="F6" s="583">
        <f t="shared" si="0"/>
        <v>19016</v>
      </c>
      <c r="G6" s="584"/>
      <c r="H6" s="497"/>
    </row>
    <row r="7" spans="1:12" s="42" customFormat="1" ht="11.5" x14ac:dyDescent="0.35">
      <c r="A7" s="209" t="s">
        <v>545</v>
      </c>
      <c r="B7" s="296"/>
      <c r="C7" s="345">
        <f>SUM(C8:C10)</f>
        <v>81910.5</v>
      </c>
      <c r="D7" s="343">
        <f>SUM(D8:D10)</f>
        <v>30267</v>
      </c>
      <c r="E7" s="343">
        <f t="shared" ref="E7:F7" si="1">SUM(E8:E10)</f>
        <v>12963</v>
      </c>
      <c r="F7" s="343">
        <f t="shared" si="1"/>
        <v>19016</v>
      </c>
      <c r="G7" s="344"/>
      <c r="H7" s="296"/>
    </row>
    <row r="8" spans="1:12" s="23" customFormat="1" ht="34.5" x14ac:dyDescent="0.35">
      <c r="A8" s="494" t="s">
        <v>257</v>
      </c>
      <c r="B8" s="497" t="s">
        <v>258</v>
      </c>
      <c r="C8" s="585">
        <v>75214.5</v>
      </c>
      <c r="D8" s="586">
        <v>27356</v>
      </c>
      <c r="E8" s="587">
        <v>11668</v>
      </c>
      <c r="F8" s="588">
        <v>17299</v>
      </c>
      <c r="G8" s="494" t="s">
        <v>259</v>
      </c>
      <c r="H8" s="497" t="s">
        <v>260</v>
      </c>
    </row>
    <row r="9" spans="1:12" s="23" customFormat="1" ht="46" x14ac:dyDescent="0.35">
      <c r="A9" s="494" t="s">
        <v>261</v>
      </c>
      <c r="B9" s="497" t="s">
        <v>262</v>
      </c>
      <c r="C9" s="585">
        <v>5686</v>
      </c>
      <c r="D9" s="586">
        <v>2562</v>
      </c>
      <c r="E9" s="587">
        <v>1030</v>
      </c>
      <c r="F9" s="588">
        <v>1182</v>
      </c>
      <c r="G9" s="494" t="s">
        <v>259</v>
      </c>
      <c r="H9" s="497" t="s">
        <v>263</v>
      </c>
    </row>
    <row r="10" spans="1:12" s="23" customFormat="1" ht="34.5" x14ac:dyDescent="0.35">
      <c r="A10" s="494" t="s">
        <v>264</v>
      </c>
      <c r="B10" s="497" t="s">
        <v>265</v>
      </c>
      <c r="C10" s="585">
        <v>1010</v>
      </c>
      <c r="D10" s="586">
        <v>349</v>
      </c>
      <c r="E10" s="587">
        <v>265</v>
      </c>
      <c r="F10" s="588">
        <v>535</v>
      </c>
      <c r="G10" s="494" t="s">
        <v>137</v>
      </c>
      <c r="H10" s="497" t="s">
        <v>266</v>
      </c>
    </row>
    <row r="11" spans="1:12" s="42" customFormat="1" ht="11.5" x14ac:dyDescent="0.35">
      <c r="A11" s="209" t="s">
        <v>546</v>
      </c>
      <c r="B11" s="296"/>
      <c r="C11" s="346">
        <f>C12</f>
        <v>8</v>
      </c>
      <c r="D11" s="346">
        <f>D12</f>
        <v>180</v>
      </c>
      <c r="E11" s="296"/>
      <c r="F11" s="282"/>
      <c r="G11" s="209"/>
      <c r="H11" s="296"/>
    </row>
    <row r="12" spans="1:12" s="23" customFormat="1" ht="23" x14ac:dyDescent="0.35">
      <c r="A12" s="349" t="s">
        <v>257</v>
      </c>
      <c r="B12" s="536" t="s">
        <v>1110</v>
      </c>
      <c r="C12" s="348">
        <v>8</v>
      </c>
      <c r="D12" s="347">
        <v>180</v>
      </c>
      <c r="E12" s="589" t="s">
        <v>11</v>
      </c>
      <c r="F12" s="589" t="s">
        <v>11</v>
      </c>
      <c r="G12" s="349" t="s">
        <v>137</v>
      </c>
      <c r="H12" s="536" t="s">
        <v>707</v>
      </c>
    </row>
    <row r="13" spans="1:12" s="23" customFormat="1" ht="28.5" customHeight="1" x14ac:dyDescent="0.25">
      <c r="A13" s="939" t="s">
        <v>1290</v>
      </c>
      <c r="B13" s="939"/>
      <c r="C13" s="939"/>
      <c r="D13" s="939"/>
      <c r="E13" s="939"/>
      <c r="F13" s="939"/>
      <c r="G13" s="939"/>
      <c r="H13" s="22"/>
    </row>
    <row r="14" spans="1:12" s="42" customFormat="1" ht="11.5" x14ac:dyDescent="0.25">
      <c r="A14" s="48"/>
      <c r="B14" s="48"/>
      <c r="C14" s="48"/>
      <c r="D14" s="48"/>
      <c r="E14" s="48"/>
      <c r="F14" s="48"/>
      <c r="G14" s="48"/>
      <c r="H14" s="72"/>
    </row>
    <row r="15" spans="1:12" s="62" customFormat="1" ht="30" customHeight="1" thickBot="1" x14ac:dyDescent="0.4">
      <c r="A15" s="935" t="s">
        <v>78</v>
      </c>
      <c r="B15" s="935"/>
      <c r="C15" s="935"/>
      <c r="D15" s="935"/>
      <c r="E15" s="935"/>
      <c r="F15" s="935"/>
      <c r="G15" s="935"/>
      <c r="H15" s="935"/>
      <c r="I15" s="935"/>
      <c r="J15" s="935"/>
      <c r="K15" s="935"/>
      <c r="L15" s="935"/>
    </row>
    <row r="16" spans="1:12" x14ac:dyDescent="0.3">
      <c r="A16" s="17" t="s">
        <v>267</v>
      </c>
    </row>
    <row r="18" spans="1:12" s="49" customFormat="1" ht="11.5" x14ac:dyDescent="0.25">
      <c r="A18" s="335" t="s">
        <v>708</v>
      </c>
      <c r="B18" s="336" t="s">
        <v>545</v>
      </c>
      <c r="C18" s="336" t="s">
        <v>546</v>
      </c>
      <c r="D18" s="336" t="s">
        <v>471</v>
      </c>
      <c r="E18" s="60"/>
      <c r="F18" s="60"/>
    </row>
    <row r="19" spans="1:12" s="23" customFormat="1" ht="11.5" x14ac:dyDescent="0.25">
      <c r="A19" s="561" t="s">
        <v>268</v>
      </c>
      <c r="B19" s="574">
        <v>1157</v>
      </c>
      <c r="C19" s="574">
        <v>69</v>
      </c>
      <c r="D19" s="590">
        <v>1226</v>
      </c>
      <c r="E19" s="22"/>
      <c r="F19" s="22"/>
    </row>
    <row r="20" spans="1:12" s="23" customFormat="1" ht="11.5" x14ac:dyDescent="0.25">
      <c r="A20" s="561" t="s">
        <v>1250</v>
      </c>
      <c r="B20" s="562">
        <v>1157</v>
      </c>
      <c r="C20" s="562">
        <v>69</v>
      </c>
      <c r="D20" s="590">
        <v>1226</v>
      </c>
      <c r="E20" s="22"/>
      <c r="F20" s="22"/>
    </row>
    <row r="21" spans="1:12" s="23" customFormat="1" ht="11.5" x14ac:dyDescent="0.25">
      <c r="A21" s="561" t="s">
        <v>1251</v>
      </c>
      <c r="B21" s="484">
        <v>1</v>
      </c>
      <c r="C21" s="484">
        <v>1</v>
      </c>
      <c r="D21" s="591">
        <v>1</v>
      </c>
      <c r="E21" s="22"/>
      <c r="F21" s="22"/>
    </row>
    <row r="22" spans="1:12" s="23" customFormat="1" ht="11.5" x14ac:dyDescent="0.25">
      <c r="A22" s="561" t="s">
        <v>709</v>
      </c>
      <c r="B22" s="574">
        <v>2372</v>
      </c>
      <c r="C22" s="574">
        <v>110</v>
      </c>
      <c r="D22" s="590">
        <v>2482</v>
      </c>
      <c r="E22" s="22"/>
      <c r="F22" s="22"/>
    </row>
    <row r="23" spans="1:12" s="23" customFormat="1" ht="11.5" x14ac:dyDescent="0.25">
      <c r="A23" s="561" t="s">
        <v>1252</v>
      </c>
      <c r="B23" s="562">
        <v>2372</v>
      </c>
      <c r="C23" s="562">
        <v>110</v>
      </c>
      <c r="D23" s="590">
        <v>2482</v>
      </c>
      <c r="E23" s="22"/>
      <c r="F23" s="22"/>
    </row>
    <row r="24" spans="1:12" s="23" customFormat="1" ht="11.5" x14ac:dyDescent="0.25">
      <c r="A24" s="561" t="s">
        <v>1253</v>
      </c>
      <c r="B24" s="484">
        <v>1</v>
      </c>
      <c r="C24" s="484">
        <v>1</v>
      </c>
      <c r="D24" s="591">
        <v>1</v>
      </c>
      <c r="E24" s="22"/>
      <c r="F24" s="22"/>
    </row>
    <row r="25" spans="1:12" s="23" customFormat="1" ht="11.5" x14ac:dyDescent="0.25">
      <c r="A25" s="561" t="s">
        <v>710</v>
      </c>
      <c r="B25" s="574">
        <v>3529</v>
      </c>
      <c r="C25" s="574">
        <v>179</v>
      </c>
      <c r="D25" s="590">
        <v>3708</v>
      </c>
      <c r="E25" s="22"/>
      <c r="F25" s="22"/>
    </row>
    <row r="26" spans="1:12" s="23" customFormat="1" ht="11.5" x14ac:dyDescent="0.25">
      <c r="A26" s="561" t="s">
        <v>1252</v>
      </c>
      <c r="B26" s="574">
        <v>3529</v>
      </c>
      <c r="C26" s="574">
        <v>179</v>
      </c>
      <c r="D26" s="590">
        <v>3708</v>
      </c>
      <c r="E26" s="22"/>
      <c r="F26" s="22"/>
    </row>
    <row r="27" spans="1:12" s="23" customFormat="1" ht="11.5" x14ac:dyDescent="0.25">
      <c r="A27" s="567" t="s">
        <v>1253</v>
      </c>
      <c r="B27" s="559">
        <v>1</v>
      </c>
      <c r="C27" s="559">
        <v>1</v>
      </c>
      <c r="D27" s="592">
        <v>1</v>
      </c>
      <c r="E27" s="22"/>
      <c r="F27" s="22"/>
    </row>
    <row r="28" spans="1:12" s="23" customFormat="1" ht="30.75" customHeight="1" x14ac:dyDescent="0.25">
      <c r="A28" s="936" t="s">
        <v>1291</v>
      </c>
      <c r="B28" s="936"/>
      <c r="C28" s="936"/>
      <c r="D28" s="936"/>
      <c r="E28" s="33"/>
      <c r="F28" s="35"/>
      <c r="G28" s="22"/>
      <c r="H28" s="22"/>
      <c r="I28" s="22"/>
    </row>
    <row r="30" spans="1:12" s="62" customFormat="1" ht="30" customHeight="1" thickBot="1" x14ac:dyDescent="0.4">
      <c r="A30" s="935" t="s">
        <v>1144</v>
      </c>
      <c r="B30" s="935"/>
      <c r="C30" s="935"/>
      <c r="D30" s="935"/>
      <c r="E30" s="935"/>
      <c r="F30" s="935"/>
      <c r="G30" s="935"/>
      <c r="H30" s="935"/>
      <c r="I30" s="935"/>
      <c r="J30" s="935"/>
      <c r="K30" s="935"/>
      <c r="L30" s="935"/>
    </row>
    <row r="31" spans="1:12" x14ac:dyDescent="0.3">
      <c r="A31" s="17" t="s">
        <v>947</v>
      </c>
    </row>
    <row r="33" spans="1:13" s="71" customFormat="1" ht="26.25" customHeight="1" x14ac:dyDescent="0.25">
      <c r="A33" s="334" t="s">
        <v>146</v>
      </c>
      <c r="B33" s="200" t="s">
        <v>711</v>
      </c>
      <c r="C33" s="200" t="s">
        <v>712</v>
      </c>
      <c r="D33" s="200" t="s">
        <v>713</v>
      </c>
      <c r="E33" s="200" t="s">
        <v>714</v>
      </c>
      <c r="F33" s="200" t="s">
        <v>715</v>
      </c>
      <c r="G33" s="200" t="s">
        <v>716</v>
      </c>
      <c r="H33" s="200" t="s">
        <v>270</v>
      </c>
      <c r="I33" s="200" t="s">
        <v>717</v>
      </c>
      <c r="J33" s="200" t="s">
        <v>718</v>
      </c>
      <c r="K33" s="200" t="s">
        <v>719</v>
      </c>
      <c r="L33" s="200" t="s">
        <v>720</v>
      </c>
    </row>
    <row r="34" spans="1:13" s="22" customFormat="1" ht="11.5" x14ac:dyDescent="0.25">
      <c r="A34" s="354" t="s">
        <v>461</v>
      </c>
      <c r="B34" s="495">
        <v>0</v>
      </c>
      <c r="C34" s="495">
        <v>0</v>
      </c>
      <c r="D34" s="495">
        <v>0</v>
      </c>
      <c r="E34" s="495">
        <v>0</v>
      </c>
      <c r="F34" s="495">
        <v>28</v>
      </c>
      <c r="G34" s="593">
        <f>(Tabla2823[[#This Row],[Recordable Work-related Injuries ('#)]]*200000)/Tabla2823[[#This Row],[Hours Worked ('#)]]</f>
        <v>1.5034158413316399</v>
      </c>
      <c r="H34" s="358" t="s">
        <v>721</v>
      </c>
      <c r="I34" s="594">
        <v>74</v>
      </c>
      <c r="J34" s="358" t="s">
        <v>293</v>
      </c>
      <c r="K34" s="358" t="s">
        <v>293</v>
      </c>
      <c r="L34" s="563">
        <v>3724851</v>
      </c>
    </row>
    <row r="35" spans="1:13" s="22" customFormat="1" ht="11.5" x14ac:dyDescent="0.25">
      <c r="A35" s="354" t="s">
        <v>464</v>
      </c>
      <c r="B35" s="495">
        <v>0</v>
      </c>
      <c r="C35" s="495">
        <v>0</v>
      </c>
      <c r="D35" s="495">
        <v>0</v>
      </c>
      <c r="E35" s="495">
        <v>0</v>
      </c>
      <c r="F35" s="495">
        <v>24</v>
      </c>
      <c r="G35" s="593">
        <f>(Tabla2823[[#This Row],[Recordable Work-related Injuries ('#)]]*200000)/Tabla2823[[#This Row],[Hours Worked ('#)]]</f>
        <v>0.74677474986546388</v>
      </c>
      <c r="H35" s="358" t="s">
        <v>721</v>
      </c>
      <c r="I35" s="594">
        <v>79</v>
      </c>
      <c r="J35" s="358" t="s">
        <v>293</v>
      </c>
      <c r="K35" s="358" t="s">
        <v>293</v>
      </c>
      <c r="L35" s="563">
        <v>6427641</v>
      </c>
    </row>
    <row r="36" spans="1:13" s="22" customFormat="1" ht="12" thickBot="1" x14ac:dyDescent="0.3">
      <c r="A36" s="595" t="s">
        <v>472</v>
      </c>
      <c r="B36" s="596">
        <v>0</v>
      </c>
      <c r="C36" s="596">
        <v>0</v>
      </c>
      <c r="D36" s="596">
        <v>0</v>
      </c>
      <c r="E36" s="596">
        <v>0</v>
      </c>
      <c r="F36" s="596">
        <v>1</v>
      </c>
      <c r="G36" s="597">
        <f>(Tabla2823[[#This Row],[Recordable Work-related Injuries ('#)]]*200000)/Tabla2823[[#This Row],[Hours Worked ('#)]]</f>
        <v>1.7365030301977877</v>
      </c>
      <c r="H36" s="396" t="s">
        <v>722</v>
      </c>
      <c r="I36" s="598">
        <v>0</v>
      </c>
      <c r="J36" s="598">
        <v>0</v>
      </c>
      <c r="K36" s="598">
        <v>0</v>
      </c>
      <c r="L36" s="599">
        <v>115174</v>
      </c>
    </row>
    <row r="37" spans="1:13" s="22" customFormat="1" ht="12" thickTop="1" x14ac:dyDescent="0.25">
      <c r="A37" s="407" t="s">
        <v>471</v>
      </c>
      <c r="B37" s="503">
        <f>SUBTOTAL(109,Tabla2823[Fatalities ('#)])</f>
        <v>0</v>
      </c>
      <c r="C37" s="503">
        <f>SUBTOTAL(109,Tabla2823[Fatalities (Rate)])</f>
        <v>0</v>
      </c>
      <c r="D37" s="503">
        <f>SUBTOTAL(109,Tabla2823[High-consequence Work-related Injuries ('#)])</f>
        <v>0</v>
      </c>
      <c r="E37" s="503">
        <f>SUBTOTAL(109,Tabla2823[High-consequence Work-related Injuries (Rate)(1)])</f>
        <v>0</v>
      </c>
      <c r="F37" s="503">
        <f>SUBTOTAL(109,Tabla2823[Recordable Work-related Injuries ('#)])</f>
        <v>53</v>
      </c>
      <c r="G37" s="600">
        <f>SUBTOTAL(101,Tabla2823[Recordable Work-related Injuries (Rate)(2)])</f>
        <v>1.328897873798297</v>
      </c>
      <c r="H37" s="503"/>
      <c r="I37" s="503">
        <f>SUBTOTAL(109,Tabla2823[High-potential Work-related Incidents Identified ('#)])</f>
        <v>153</v>
      </c>
      <c r="J37" s="503">
        <f>SUBTOTAL(109,Tabla2823[Close Calls Identified ('#)])</f>
        <v>0</v>
      </c>
      <c r="K37" s="503"/>
      <c r="L37" s="601">
        <f>SUBTOTAL(109,Tabla2823[Hours Worked ('#)])</f>
        <v>10267666</v>
      </c>
    </row>
    <row r="38" spans="1:13" s="22" customFormat="1" ht="60" customHeight="1" x14ac:dyDescent="0.25">
      <c r="A38" s="951" t="s">
        <v>1292</v>
      </c>
      <c r="B38" s="951"/>
      <c r="C38" s="951"/>
      <c r="D38" s="951"/>
      <c r="E38" s="951"/>
      <c r="F38" s="951"/>
      <c r="G38" s="951"/>
      <c r="H38" s="951"/>
      <c r="I38" s="951"/>
    </row>
    <row r="39" spans="1:13" s="72" customFormat="1" ht="11.5" x14ac:dyDescent="0.25">
      <c r="A39" s="42"/>
      <c r="B39" s="42"/>
      <c r="C39" s="95"/>
      <c r="D39" s="95"/>
      <c r="E39" s="71"/>
    </row>
    <row r="40" spans="1:13" s="14" customFormat="1" ht="30" customHeight="1" thickBot="1" x14ac:dyDescent="0.45">
      <c r="A40" s="935" t="s">
        <v>1145</v>
      </c>
      <c r="B40" s="935"/>
      <c r="C40" s="935"/>
      <c r="D40" s="935"/>
      <c r="E40" s="935"/>
      <c r="F40" s="935"/>
      <c r="G40" s="935"/>
      <c r="H40" s="935"/>
      <c r="I40" s="935"/>
      <c r="J40" s="935"/>
      <c r="K40" s="935"/>
      <c r="L40" s="935"/>
    </row>
    <row r="41" spans="1:13" x14ac:dyDescent="0.3">
      <c r="A41" s="17" t="s">
        <v>269</v>
      </c>
    </row>
    <row r="43" spans="1:13" s="72" customFormat="1" ht="23" x14ac:dyDescent="0.25">
      <c r="A43" s="86" t="s">
        <v>146</v>
      </c>
      <c r="B43" s="64" t="s">
        <v>711</v>
      </c>
      <c r="C43" s="64" t="s">
        <v>712</v>
      </c>
      <c r="D43" s="64" t="s">
        <v>713</v>
      </c>
      <c r="E43" s="64" t="s">
        <v>714</v>
      </c>
      <c r="F43" s="64" t="s">
        <v>715</v>
      </c>
      <c r="G43" s="64" t="s">
        <v>716</v>
      </c>
      <c r="H43" s="64" t="s">
        <v>270</v>
      </c>
      <c r="I43" s="96" t="s">
        <v>717</v>
      </c>
      <c r="J43" s="97" t="s">
        <v>718</v>
      </c>
      <c r="K43" s="96" t="s">
        <v>719</v>
      </c>
      <c r="L43" s="97" t="s">
        <v>720</v>
      </c>
      <c r="M43" s="70"/>
    </row>
    <row r="44" spans="1:13" s="72" customFormat="1" ht="11.5" x14ac:dyDescent="0.25">
      <c r="A44" s="353" t="s">
        <v>461</v>
      </c>
      <c r="B44" s="495">
        <v>0</v>
      </c>
      <c r="C44" s="495">
        <v>0</v>
      </c>
      <c r="D44" s="495">
        <v>0</v>
      </c>
      <c r="E44" s="495">
        <v>0</v>
      </c>
      <c r="F44" s="495" t="s">
        <v>274</v>
      </c>
      <c r="G44" s="495" t="s">
        <v>274</v>
      </c>
      <c r="H44" s="495" t="s">
        <v>274</v>
      </c>
      <c r="I44" s="495" t="s">
        <v>274</v>
      </c>
      <c r="J44" s="495" t="s">
        <v>274</v>
      </c>
      <c r="K44" s="495" t="s">
        <v>274</v>
      </c>
      <c r="L44" s="602" t="s">
        <v>274</v>
      </c>
    </row>
    <row r="45" spans="1:13" s="72" customFormat="1" ht="11.5" x14ac:dyDescent="0.25">
      <c r="A45" s="353" t="s">
        <v>464</v>
      </c>
      <c r="B45" s="495">
        <v>0</v>
      </c>
      <c r="C45" s="495">
        <v>0</v>
      </c>
      <c r="D45" s="495">
        <v>0</v>
      </c>
      <c r="E45" s="495">
        <v>0</v>
      </c>
      <c r="F45" s="495" t="s">
        <v>274</v>
      </c>
      <c r="G45" s="495" t="s">
        <v>274</v>
      </c>
      <c r="H45" s="495" t="s">
        <v>274</v>
      </c>
      <c r="I45" s="495" t="s">
        <v>274</v>
      </c>
      <c r="J45" s="495" t="s">
        <v>274</v>
      </c>
      <c r="K45" s="495" t="s">
        <v>274</v>
      </c>
      <c r="L45" s="602" t="s">
        <v>274</v>
      </c>
    </row>
    <row r="46" spans="1:13" s="72" customFormat="1" ht="12" thickBot="1" x14ac:dyDescent="0.3">
      <c r="A46" s="603" t="s">
        <v>472</v>
      </c>
      <c r="B46" s="596">
        <v>0</v>
      </c>
      <c r="C46" s="596">
        <v>0</v>
      </c>
      <c r="D46" s="596">
        <v>0</v>
      </c>
      <c r="E46" s="604">
        <v>0</v>
      </c>
      <c r="F46" s="596">
        <v>3</v>
      </c>
      <c r="G46" s="596">
        <v>1.78</v>
      </c>
      <c r="H46" s="605" t="s">
        <v>723</v>
      </c>
      <c r="I46" s="606">
        <v>0</v>
      </c>
      <c r="J46" s="606">
        <v>0</v>
      </c>
      <c r="K46" s="606">
        <v>0</v>
      </c>
      <c r="L46" s="607">
        <v>337051</v>
      </c>
    </row>
    <row r="47" spans="1:13" s="72" customFormat="1" ht="12" thickTop="1" x14ac:dyDescent="0.25">
      <c r="A47" s="608" t="s">
        <v>471</v>
      </c>
      <c r="B47" s="609">
        <f>SUBTOTAL(109,Tabla2977[Fatalities ('#)])</f>
        <v>0</v>
      </c>
      <c r="C47" s="609">
        <f>SUBTOTAL(109,Tabla2977[Fatalities (Rate)])</f>
        <v>0</v>
      </c>
      <c r="D47" s="609">
        <f>SUBTOTAL(109,Tabla2977[High-consequence Work-related Injuries ('#)])</f>
        <v>0</v>
      </c>
      <c r="E47" s="609">
        <f>SUBTOTAL(109,Tabla2977[High-consequence Work-related Injuries (Rate)(1)])</f>
        <v>0</v>
      </c>
      <c r="F47" s="609">
        <f>SUBTOTAL(109,Tabla2977[Recordable Work-related Injuries ('#)])</f>
        <v>3</v>
      </c>
      <c r="G47" s="609">
        <f>SUBTOTAL(109,Tabla2977[Recordable Work-related Injuries (Rate)(2)])</f>
        <v>1.78</v>
      </c>
      <c r="H47" s="610"/>
      <c r="I47" s="611">
        <f>SUBTOTAL(109,Tabla2977[High-potential Work-related Incidents Identified ('#)])</f>
        <v>0</v>
      </c>
      <c r="J47" s="611">
        <f>SUBTOTAL(109,Tabla2977[Close Calls Identified ('#)])</f>
        <v>0</v>
      </c>
      <c r="K47" s="611"/>
      <c r="L47" s="612">
        <f>SUBTOTAL(109,Tabla2977[Hours Worked ('#)])</f>
        <v>337051</v>
      </c>
    </row>
    <row r="48" spans="1:13" s="72" customFormat="1" ht="55.5" customHeight="1" x14ac:dyDescent="0.25">
      <c r="A48" s="951" t="s">
        <v>1292</v>
      </c>
      <c r="B48" s="951"/>
      <c r="C48" s="951"/>
      <c r="D48" s="951"/>
      <c r="E48" s="951"/>
      <c r="F48" s="951"/>
      <c r="G48" s="951"/>
      <c r="H48" s="951"/>
      <c r="I48" s="951"/>
      <c r="J48" s="22"/>
      <c r="K48" s="22"/>
      <c r="L48" s="22"/>
    </row>
    <row r="49" spans="1:12" s="60" customFormat="1" ht="11.5" x14ac:dyDescent="0.25">
      <c r="A49" s="49"/>
      <c r="B49" s="49"/>
      <c r="C49" s="95"/>
      <c r="D49" s="95"/>
      <c r="E49" s="56"/>
    </row>
    <row r="50" spans="1:12" s="62" customFormat="1" ht="30" customHeight="1" thickBot="1" x14ac:dyDescent="0.4">
      <c r="A50" s="935" t="s">
        <v>1146</v>
      </c>
      <c r="B50" s="935"/>
      <c r="C50" s="935"/>
      <c r="D50" s="935"/>
      <c r="E50" s="935"/>
      <c r="F50" s="935"/>
      <c r="G50" s="935"/>
      <c r="H50" s="935"/>
      <c r="I50" s="935"/>
      <c r="J50" s="935"/>
      <c r="K50" s="935"/>
      <c r="L50" s="935"/>
    </row>
    <row r="51" spans="1:12" x14ac:dyDescent="0.3">
      <c r="A51" s="17" t="s">
        <v>269</v>
      </c>
    </row>
    <row r="52" spans="1:12" x14ac:dyDescent="0.3">
      <c r="A52" s="46"/>
    </row>
    <row r="53" spans="1:12" s="60" customFormat="1" ht="46" x14ac:dyDescent="0.25">
      <c r="A53" s="213" t="s">
        <v>146</v>
      </c>
      <c r="B53" s="214" t="s">
        <v>724</v>
      </c>
      <c r="C53" s="214" t="s">
        <v>1079</v>
      </c>
      <c r="D53" s="214" t="s">
        <v>725</v>
      </c>
      <c r="E53" s="219" t="s">
        <v>726</v>
      </c>
    </row>
    <row r="54" spans="1:12" s="22" customFormat="1" ht="41.25" customHeight="1" x14ac:dyDescent="0.25">
      <c r="A54" s="613" t="s">
        <v>461</v>
      </c>
      <c r="B54" s="561" t="s">
        <v>727</v>
      </c>
      <c r="C54" s="358" t="s">
        <v>728</v>
      </c>
      <c r="D54" s="561" t="s">
        <v>729</v>
      </c>
      <c r="E54" s="356" t="s">
        <v>1080</v>
      </c>
    </row>
    <row r="55" spans="1:12" s="22" customFormat="1" ht="34.5" x14ac:dyDescent="0.25">
      <c r="A55" s="613" t="s">
        <v>464</v>
      </c>
      <c r="B55" s="561" t="s">
        <v>727</v>
      </c>
      <c r="C55" s="358" t="s">
        <v>728</v>
      </c>
      <c r="D55" s="561" t="s">
        <v>729</v>
      </c>
      <c r="E55" s="356" t="s">
        <v>1080</v>
      </c>
    </row>
    <row r="56" spans="1:12" s="22" customFormat="1" ht="11.5" x14ac:dyDescent="0.25">
      <c r="A56" s="613" t="s">
        <v>472</v>
      </c>
      <c r="B56" s="358" t="s">
        <v>730</v>
      </c>
      <c r="C56" s="358" t="s">
        <v>731</v>
      </c>
      <c r="D56" s="358" t="s">
        <v>732</v>
      </c>
      <c r="E56" s="356" t="s">
        <v>733</v>
      </c>
    </row>
    <row r="57" spans="1:12" s="22" customFormat="1" ht="11.5" x14ac:dyDescent="0.25">
      <c r="A57" s="23"/>
      <c r="B57" s="23"/>
      <c r="C57" s="23"/>
      <c r="D57" s="614"/>
      <c r="E57" s="614"/>
      <c r="F57" s="35"/>
    </row>
    <row r="58" spans="1:12" s="62" customFormat="1" ht="30" customHeight="1" thickBot="1" x14ac:dyDescent="0.4">
      <c r="A58" s="935" t="s">
        <v>1147</v>
      </c>
      <c r="B58" s="935"/>
      <c r="C58" s="935"/>
      <c r="D58" s="935"/>
      <c r="E58" s="935"/>
      <c r="F58" s="935"/>
      <c r="G58" s="935"/>
      <c r="H58" s="935"/>
      <c r="I58" s="935"/>
      <c r="J58" s="935"/>
      <c r="K58" s="935"/>
      <c r="L58" s="935"/>
    </row>
    <row r="59" spans="1:12" x14ac:dyDescent="0.3">
      <c r="A59" s="17" t="s">
        <v>272</v>
      </c>
    </row>
    <row r="61" spans="1:12" s="615" customFormat="1" ht="11.5" x14ac:dyDescent="0.25">
      <c r="A61" s="615" t="s">
        <v>65</v>
      </c>
    </row>
    <row r="62" spans="1:12" s="49" customFormat="1" ht="11.5" x14ac:dyDescent="0.25">
      <c r="A62" s="333" t="s">
        <v>146</v>
      </c>
      <c r="B62" s="333" t="s">
        <v>734</v>
      </c>
      <c r="C62" s="333" t="s">
        <v>735</v>
      </c>
      <c r="D62" s="333" t="s">
        <v>273</v>
      </c>
      <c r="E62" s="333" t="s">
        <v>736</v>
      </c>
      <c r="F62" s="333" t="s">
        <v>737</v>
      </c>
      <c r="G62" s="333" t="s">
        <v>738</v>
      </c>
      <c r="H62" s="333" t="s">
        <v>739</v>
      </c>
      <c r="I62" s="68"/>
      <c r="J62" s="68"/>
      <c r="K62" s="68"/>
      <c r="L62" s="68"/>
    </row>
    <row r="63" spans="1:12" s="23" customFormat="1" ht="11.5" x14ac:dyDescent="0.25">
      <c r="A63" s="354" t="s">
        <v>461</v>
      </c>
      <c r="B63" s="354">
        <v>0</v>
      </c>
      <c r="C63" s="495">
        <v>0</v>
      </c>
      <c r="D63" s="494" t="s">
        <v>11</v>
      </c>
      <c r="E63" s="494" t="s">
        <v>274</v>
      </c>
      <c r="F63" s="494" t="s">
        <v>274</v>
      </c>
      <c r="G63" s="494" t="s">
        <v>274</v>
      </c>
      <c r="H63" s="494" t="s">
        <v>274</v>
      </c>
      <c r="I63" s="22"/>
      <c r="J63" s="22"/>
      <c r="K63" s="22"/>
      <c r="L63" s="22"/>
    </row>
    <row r="64" spans="1:12" s="23" customFormat="1" ht="11.5" x14ac:dyDescent="0.25">
      <c r="A64" s="354" t="s">
        <v>464</v>
      </c>
      <c r="B64" s="354">
        <v>0</v>
      </c>
      <c r="C64" s="495">
        <v>0</v>
      </c>
      <c r="D64" s="494" t="s">
        <v>11</v>
      </c>
      <c r="E64" s="494" t="s">
        <v>274</v>
      </c>
      <c r="F64" s="494" t="s">
        <v>274</v>
      </c>
      <c r="G64" s="494" t="s">
        <v>274</v>
      </c>
      <c r="H64" s="494" t="s">
        <v>274</v>
      </c>
      <c r="I64" s="22"/>
      <c r="J64" s="22"/>
      <c r="K64" s="22"/>
      <c r="L64" s="22"/>
    </row>
    <row r="65" spans="1:12" s="23" customFormat="1" ht="23" x14ac:dyDescent="0.25">
      <c r="A65" s="347" t="s">
        <v>472</v>
      </c>
      <c r="B65" s="347">
        <v>0</v>
      </c>
      <c r="C65" s="589">
        <v>0</v>
      </c>
      <c r="D65" s="536" t="s">
        <v>11</v>
      </c>
      <c r="E65" s="536" t="s">
        <v>1081</v>
      </c>
      <c r="F65" s="536" t="s">
        <v>1082</v>
      </c>
      <c r="G65" s="536" t="s">
        <v>11</v>
      </c>
      <c r="H65" s="536" t="s">
        <v>740</v>
      </c>
      <c r="I65" s="22"/>
      <c r="J65" s="22"/>
      <c r="K65" s="22"/>
      <c r="L65" s="22"/>
    </row>
    <row r="66" spans="1:12" s="23" customFormat="1" ht="25.5" customHeight="1" x14ac:dyDescent="0.25">
      <c r="A66" s="951" t="s">
        <v>1293</v>
      </c>
      <c r="B66" s="951"/>
      <c r="C66" s="951"/>
      <c r="D66" s="951"/>
      <c r="E66" s="951"/>
      <c r="F66" s="951"/>
      <c r="G66" s="951"/>
      <c r="H66" s="951"/>
      <c r="I66" s="951"/>
      <c r="J66" s="22"/>
      <c r="K66" s="22"/>
      <c r="L66" s="22"/>
    </row>
    <row r="67" spans="1:12" s="18" customFormat="1" x14ac:dyDescent="0.3"/>
    <row r="68" spans="1:12" s="615" customFormat="1" ht="11.5" x14ac:dyDescent="0.25">
      <c r="A68" s="615" t="s">
        <v>1000</v>
      </c>
    </row>
    <row r="69" spans="1:12" s="49" customFormat="1" ht="11.5" x14ac:dyDescent="0.25">
      <c r="A69" s="333" t="s">
        <v>146</v>
      </c>
      <c r="B69" s="333" t="s">
        <v>734</v>
      </c>
      <c r="C69" s="333" t="s">
        <v>735</v>
      </c>
      <c r="D69" s="333" t="s">
        <v>273</v>
      </c>
      <c r="E69" s="333" t="s">
        <v>736</v>
      </c>
      <c r="F69" s="333" t="s">
        <v>737</v>
      </c>
      <c r="G69" s="333" t="s">
        <v>738</v>
      </c>
      <c r="H69" s="333" t="s">
        <v>739</v>
      </c>
      <c r="I69" s="68"/>
      <c r="J69" s="68"/>
      <c r="K69" s="68"/>
    </row>
    <row r="70" spans="1:12" s="23" customFormat="1" ht="11.5" x14ac:dyDescent="0.25">
      <c r="A70" s="354" t="s">
        <v>461</v>
      </c>
      <c r="B70" s="354">
        <v>0</v>
      </c>
      <c r="C70" s="495">
        <v>0</v>
      </c>
      <c r="D70" s="497" t="s">
        <v>11</v>
      </c>
      <c r="E70" s="616" t="s">
        <v>274</v>
      </c>
      <c r="F70" s="616" t="s">
        <v>274</v>
      </c>
      <c r="G70" s="616" t="s">
        <v>274</v>
      </c>
      <c r="H70" s="616" t="s">
        <v>274</v>
      </c>
      <c r="I70" s="22"/>
      <c r="J70" s="22"/>
      <c r="K70" s="22"/>
    </row>
    <row r="71" spans="1:12" s="23" customFormat="1" ht="11.5" x14ac:dyDescent="0.25">
      <c r="A71" s="354" t="s">
        <v>464</v>
      </c>
      <c r="B71" s="354">
        <v>0</v>
      </c>
      <c r="C71" s="495">
        <v>0</v>
      </c>
      <c r="D71" s="497" t="s">
        <v>11</v>
      </c>
      <c r="E71" s="616" t="s">
        <v>274</v>
      </c>
      <c r="F71" s="616" t="s">
        <v>274</v>
      </c>
      <c r="G71" s="616" t="s">
        <v>274</v>
      </c>
      <c r="H71" s="616" t="s">
        <v>274</v>
      </c>
      <c r="I71" s="22"/>
      <c r="J71" s="22"/>
      <c r="K71" s="22"/>
    </row>
    <row r="72" spans="1:12" s="23" customFormat="1" ht="23" x14ac:dyDescent="0.25">
      <c r="A72" s="347" t="s">
        <v>472</v>
      </c>
      <c r="B72" s="347">
        <v>0</v>
      </c>
      <c r="C72" s="589">
        <v>0</v>
      </c>
      <c r="D72" s="536" t="s">
        <v>11</v>
      </c>
      <c r="E72" s="536" t="s">
        <v>1081</v>
      </c>
      <c r="F72" s="536" t="s">
        <v>1082</v>
      </c>
      <c r="G72" s="536" t="s">
        <v>11</v>
      </c>
      <c r="H72" s="536" t="s">
        <v>740</v>
      </c>
      <c r="I72" s="22"/>
      <c r="J72" s="22"/>
      <c r="K72" s="22"/>
    </row>
    <row r="73" spans="1:12" s="23" customFormat="1" ht="27.75" customHeight="1" x14ac:dyDescent="0.25">
      <c r="A73" s="951" t="s">
        <v>1293</v>
      </c>
      <c r="B73" s="951"/>
      <c r="C73" s="951"/>
      <c r="D73" s="951"/>
      <c r="E73" s="951"/>
      <c r="F73" s="951"/>
      <c r="G73" s="951"/>
      <c r="H73" s="951"/>
      <c r="I73" s="951"/>
      <c r="J73" s="22"/>
      <c r="K73" s="22"/>
      <c r="L73" s="22"/>
    </row>
    <row r="75" spans="1:12" s="49" customFormat="1" ht="20.149999999999999" customHeight="1" thickBot="1" x14ac:dyDescent="0.4">
      <c r="A75" s="935" t="s">
        <v>1148</v>
      </c>
      <c r="B75" s="935"/>
      <c r="C75" s="935"/>
      <c r="D75" s="935"/>
      <c r="E75" s="935"/>
      <c r="F75" s="935"/>
      <c r="G75" s="935"/>
      <c r="H75" s="935"/>
      <c r="I75" s="935"/>
      <c r="J75" s="935"/>
      <c r="K75" s="935"/>
      <c r="L75" s="935"/>
    </row>
    <row r="76" spans="1:12" x14ac:dyDescent="0.3">
      <c r="A76" s="17" t="s">
        <v>948</v>
      </c>
    </row>
    <row r="77" spans="1:12" x14ac:dyDescent="0.3">
      <c r="A77" s="45"/>
    </row>
    <row r="78" spans="1:12" s="60" customFormat="1" ht="11.5" x14ac:dyDescent="0.25">
      <c r="A78" s="142" t="s">
        <v>146</v>
      </c>
      <c r="B78" s="142" t="s">
        <v>548</v>
      </c>
      <c r="C78" s="142" t="s">
        <v>331</v>
      </c>
      <c r="D78" s="142" t="s">
        <v>330</v>
      </c>
    </row>
    <row r="79" spans="1:12" s="60" customFormat="1" ht="11.5" x14ac:dyDescent="0.25">
      <c r="A79" s="337" t="s">
        <v>471</v>
      </c>
      <c r="B79" s="338"/>
      <c r="C79" s="338"/>
      <c r="D79" s="337"/>
    </row>
    <row r="80" spans="1:12" s="22" customFormat="1" ht="11.5" x14ac:dyDescent="0.25">
      <c r="A80" s="358" t="s">
        <v>711</v>
      </c>
      <c r="B80" s="510">
        <v>0</v>
      </c>
      <c r="C80" s="594">
        <v>0</v>
      </c>
      <c r="D80" s="594" t="s">
        <v>293</v>
      </c>
    </row>
    <row r="81" spans="1:4" s="22" customFormat="1" ht="11.5" x14ac:dyDescent="0.25">
      <c r="A81" s="358" t="s">
        <v>713</v>
      </c>
      <c r="B81" s="510">
        <v>0</v>
      </c>
      <c r="C81" s="594">
        <v>1</v>
      </c>
      <c r="D81" s="594" t="s">
        <v>293</v>
      </c>
    </row>
    <row r="82" spans="1:4" s="22" customFormat="1" ht="11.5" x14ac:dyDescent="0.25">
      <c r="A82" s="358" t="s">
        <v>715</v>
      </c>
      <c r="B82" s="510">
        <v>56</v>
      </c>
      <c r="C82" s="594">
        <v>53</v>
      </c>
      <c r="D82" s="594" t="s">
        <v>293</v>
      </c>
    </row>
    <row r="83" spans="1:4" s="22" customFormat="1" ht="11.5" x14ac:dyDescent="0.25">
      <c r="A83" s="358" t="s">
        <v>717</v>
      </c>
      <c r="B83" s="510">
        <v>153</v>
      </c>
      <c r="C83" s="594">
        <v>83</v>
      </c>
      <c r="D83" s="594" t="s">
        <v>293</v>
      </c>
    </row>
    <row r="84" spans="1:4" s="22" customFormat="1" ht="11.5" x14ac:dyDescent="0.25">
      <c r="A84" s="358" t="s">
        <v>718</v>
      </c>
      <c r="B84" s="617">
        <v>0</v>
      </c>
      <c r="C84" s="594" t="s">
        <v>293</v>
      </c>
      <c r="D84" s="510" t="s">
        <v>293</v>
      </c>
    </row>
    <row r="85" spans="1:4" s="22" customFormat="1" ht="11.5" x14ac:dyDescent="0.25">
      <c r="A85" s="358" t="s">
        <v>741</v>
      </c>
      <c r="B85" s="510">
        <v>0</v>
      </c>
      <c r="C85" s="511" t="s">
        <v>293</v>
      </c>
      <c r="D85" s="510" t="s">
        <v>293</v>
      </c>
    </row>
    <row r="86" spans="1:4" s="60" customFormat="1" ht="11.5" x14ac:dyDescent="0.25">
      <c r="A86" s="337" t="s">
        <v>461</v>
      </c>
      <c r="B86" s="338"/>
      <c r="C86" s="339"/>
      <c r="D86" s="337"/>
    </row>
    <row r="87" spans="1:4" s="22" customFormat="1" ht="11.5" x14ac:dyDescent="0.25">
      <c r="A87" s="358" t="s">
        <v>711</v>
      </c>
      <c r="B87" s="594">
        <v>0</v>
      </c>
      <c r="C87" s="510">
        <v>0</v>
      </c>
      <c r="D87" s="594">
        <v>0</v>
      </c>
    </row>
    <row r="88" spans="1:4" s="22" customFormat="1" ht="11.5" x14ac:dyDescent="0.25">
      <c r="A88" s="358" t="s">
        <v>713</v>
      </c>
      <c r="B88" s="594">
        <v>0</v>
      </c>
      <c r="C88" s="510">
        <v>1</v>
      </c>
      <c r="D88" s="594" t="s">
        <v>293</v>
      </c>
    </row>
    <row r="89" spans="1:4" s="22" customFormat="1" ht="11.5" x14ac:dyDescent="0.25">
      <c r="A89" s="358" t="s">
        <v>715</v>
      </c>
      <c r="B89" s="594">
        <v>28</v>
      </c>
      <c r="C89" s="510">
        <v>26</v>
      </c>
      <c r="D89" s="594" t="s">
        <v>293</v>
      </c>
    </row>
    <row r="90" spans="1:4" s="22" customFormat="1" ht="11.5" x14ac:dyDescent="0.25">
      <c r="A90" s="358" t="s">
        <v>717</v>
      </c>
      <c r="B90" s="618">
        <v>74</v>
      </c>
      <c r="C90" s="510">
        <v>28</v>
      </c>
      <c r="D90" s="594" t="s">
        <v>293</v>
      </c>
    </row>
    <row r="91" spans="1:4" s="22" customFormat="1" ht="11.5" x14ac:dyDescent="0.25">
      <c r="A91" s="358" t="s">
        <v>718</v>
      </c>
      <c r="B91" s="618" t="s">
        <v>293</v>
      </c>
      <c r="C91" s="510" t="s">
        <v>293</v>
      </c>
      <c r="D91" s="510" t="s">
        <v>293</v>
      </c>
    </row>
    <row r="92" spans="1:4" s="22" customFormat="1" ht="11.5" x14ac:dyDescent="0.25">
      <c r="A92" s="358" t="s">
        <v>741</v>
      </c>
      <c r="B92" s="618" t="s">
        <v>293</v>
      </c>
      <c r="C92" s="510" t="s">
        <v>293</v>
      </c>
      <c r="D92" s="510" t="s">
        <v>293</v>
      </c>
    </row>
    <row r="93" spans="1:4" s="60" customFormat="1" ht="11.5" x14ac:dyDescent="0.25">
      <c r="A93" s="337" t="s">
        <v>464</v>
      </c>
      <c r="B93" s="338"/>
      <c r="C93" s="339"/>
      <c r="D93" s="293"/>
    </row>
    <row r="94" spans="1:4" s="22" customFormat="1" ht="14.25" customHeight="1" x14ac:dyDescent="0.25">
      <c r="A94" s="358" t="s">
        <v>711</v>
      </c>
      <c r="B94" s="594">
        <v>0</v>
      </c>
      <c r="C94" s="510">
        <v>0</v>
      </c>
      <c r="D94" s="594">
        <v>1</v>
      </c>
    </row>
    <row r="95" spans="1:4" s="22" customFormat="1" ht="11.5" x14ac:dyDescent="0.25">
      <c r="A95" s="358" t="s">
        <v>713</v>
      </c>
      <c r="B95" s="594">
        <v>0</v>
      </c>
      <c r="C95" s="510">
        <v>0</v>
      </c>
      <c r="D95" s="594" t="s">
        <v>293</v>
      </c>
    </row>
    <row r="96" spans="1:4" s="22" customFormat="1" ht="11.5" x14ac:dyDescent="0.25">
      <c r="A96" s="358" t="s">
        <v>715</v>
      </c>
      <c r="B96" s="510">
        <v>24</v>
      </c>
      <c r="C96" s="510">
        <v>27</v>
      </c>
      <c r="D96" s="594" t="s">
        <v>293</v>
      </c>
    </row>
    <row r="97" spans="1:6" s="22" customFormat="1" ht="11.5" x14ac:dyDescent="0.25">
      <c r="A97" s="358" t="s">
        <v>717</v>
      </c>
      <c r="B97" s="617">
        <v>79</v>
      </c>
      <c r="C97" s="510">
        <v>55</v>
      </c>
      <c r="D97" s="594" t="s">
        <v>293</v>
      </c>
    </row>
    <row r="98" spans="1:6" s="22" customFormat="1" ht="11.5" x14ac:dyDescent="0.25">
      <c r="A98" s="358" t="s">
        <v>718</v>
      </c>
      <c r="B98" s="617" t="s">
        <v>293</v>
      </c>
      <c r="C98" s="510" t="s">
        <v>293</v>
      </c>
      <c r="D98" s="510" t="s">
        <v>293</v>
      </c>
    </row>
    <row r="99" spans="1:6" s="22" customFormat="1" ht="11.5" x14ac:dyDescent="0.25">
      <c r="A99" s="358" t="s">
        <v>741</v>
      </c>
      <c r="B99" s="510" t="s">
        <v>293</v>
      </c>
      <c r="C99" s="510" t="s">
        <v>293</v>
      </c>
      <c r="D99" s="510" t="s">
        <v>293</v>
      </c>
    </row>
    <row r="100" spans="1:6" s="60" customFormat="1" ht="11.5" x14ac:dyDescent="0.25">
      <c r="A100" s="337" t="s">
        <v>472</v>
      </c>
      <c r="B100" s="338"/>
      <c r="C100" s="339"/>
      <c r="D100" s="337"/>
    </row>
    <row r="101" spans="1:6" s="22" customFormat="1" ht="11.5" x14ac:dyDescent="0.25">
      <c r="A101" s="358" t="s">
        <v>711</v>
      </c>
      <c r="B101" s="510">
        <v>0</v>
      </c>
      <c r="C101" s="594" t="s">
        <v>11</v>
      </c>
      <c r="D101" s="594" t="s">
        <v>11</v>
      </c>
    </row>
    <row r="102" spans="1:6" s="22" customFormat="1" ht="11.5" x14ac:dyDescent="0.25">
      <c r="A102" s="358" t="s">
        <v>713</v>
      </c>
      <c r="B102" s="510">
        <v>0</v>
      </c>
      <c r="C102" s="594" t="s">
        <v>11</v>
      </c>
      <c r="D102" s="594" t="s">
        <v>11</v>
      </c>
    </row>
    <row r="103" spans="1:6" s="22" customFormat="1" ht="11.5" x14ac:dyDescent="0.25">
      <c r="A103" s="358" t="s">
        <v>715</v>
      </c>
      <c r="B103" s="510">
        <v>4</v>
      </c>
      <c r="C103" s="594" t="s">
        <v>11</v>
      </c>
      <c r="D103" s="594" t="s">
        <v>11</v>
      </c>
    </row>
    <row r="104" spans="1:6" s="22" customFormat="1" ht="11.5" x14ac:dyDescent="0.25">
      <c r="A104" s="358" t="s">
        <v>717</v>
      </c>
      <c r="B104" s="617">
        <v>0</v>
      </c>
      <c r="C104" s="594" t="s">
        <v>11</v>
      </c>
      <c r="D104" s="594" t="s">
        <v>11</v>
      </c>
    </row>
    <row r="105" spans="1:6" s="22" customFormat="1" ht="11.5" x14ac:dyDescent="0.25">
      <c r="A105" s="358" t="s">
        <v>718</v>
      </c>
      <c r="B105" s="617">
        <v>0</v>
      </c>
      <c r="C105" s="594" t="s">
        <v>11</v>
      </c>
      <c r="D105" s="594" t="s">
        <v>11</v>
      </c>
    </row>
    <row r="106" spans="1:6" s="22" customFormat="1" ht="11.5" x14ac:dyDescent="0.25">
      <c r="A106" s="363" t="s">
        <v>741</v>
      </c>
      <c r="B106" s="513">
        <v>0</v>
      </c>
      <c r="C106" s="619" t="s">
        <v>11</v>
      </c>
      <c r="D106" s="619" t="s">
        <v>11</v>
      </c>
    </row>
    <row r="107" spans="1:6" s="22" customFormat="1" ht="31.5" customHeight="1" x14ac:dyDescent="0.25">
      <c r="A107" s="936" t="s">
        <v>1294</v>
      </c>
      <c r="B107" s="936"/>
      <c r="C107" s="936"/>
      <c r="D107" s="936"/>
      <c r="E107" s="35"/>
    </row>
    <row r="108" spans="1:6" s="60" customFormat="1" ht="11.5" x14ac:dyDescent="0.25">
      <c r="A108" s="49"/>
      <c r="B108" s="49"/>
      <c r="C108" s="49"/>
      <c r="D108" s="95"/>
      <c r="E108" s="95"/>
      <c r="F108" s="56"/>
    </row>
  </sheetData>
  <mergeCells count="28">
    <mergeCell ref="A75:D75"/>
    <mergeCell ref="E75:H75"/>
    <mergeCell ref="I75:L75"/>
    <mergeCell ref="I1:L1"/>
    <mergeCell ref="A15:D15"/>
    <mergeCell ref="E15:H15"/>
    <mergeCell ref="I15:L15"/>
    <mergeCell ref="A30:D30"/>
    <mergeCell ref="E30:H30"/>
    <mergeCell ref="I30:L30"/>
    <mergeCell ref="A1:D1"/>
    <mergeCell ref="E1:H1"/>
    <mergeCell ref="A107:D107"/>
    <mergeCell ref="A13:G13"/>
    <mergeCell ref="A28:D28"/>
    <mergeCell ref="A38:I38"/>
    <mergeCell ref="A48:I48"/>
    <mergeCell ref="A73:I73"/>
    <mergeCell ref="A66:I66"/>
    <mergeCell ref="A40:D40"/>
    <mergeCell ref="E40:H40"/>
    <mergeCell ref="I40:L40"/>
    <mergeCell ref="A50:D50"/>
    <mergeCell ref="E50:H50"/>
    <mergeCell ref="I50:L50"/>
    <mergeCell ref="A58:D58"/>
    <mergeCell ref="E58:H58"/>
    <mergeCell ref="I58:L58"/>
  </mergeCells>
  <pageMargins left="0.7" right="0.7" top="0.75" bottom="0.75" header="0.3" footer="0.3"/>
  <pageSetup orientation="portrait" r:id="rId1"/>
  <drawing r:id="rId2"/>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18</vt:i4>
      </vt:variant>
      <vt:variant>
        <vt:lpstr>Named Ranges</vt:lpstr>
      </vt:variant>
      <vt:variant>
        <vt:i4>70</vt:i4>
      </vt:variant>
    </vt:vector>
  </HeadingPairs>
  <TitlesOfParts>
    <vt:vector size="88" baseType="lpstr">
      <vt:lpstr>Index</vt:lpstr>
      <vt:lpstr>Overview</vt:lpstr>
      <vt:lpstr>ASM</vt:lpstr>
      <vt:lpstr>Biodiversity</vt:lpstr>
      <vt:lpstr>Climate Change</vt:lpstr>
      <vt:lpstr>Communities &amp; IPs</vt:lpstr>
      <vt:lpstr>CorpGov &amp; Business Ethics</vt:lpstr>
      <vt:lpstr>Environmental Mgmt</vt:lpstr>
      <vt:lpstr>Health &amp; Safety</vt:lpstr>
      <vt:lpstr>Labour Rights</vt:lpstr>
      <vt:lpstr>Resettlement</vt:lpstr>
      <vt:lpstr>Resp. Procurement</vt:lpstr>
      <vt:lpstr>Security Practices</vt:lpstr>
      <vt:lpstr>Socio-econ. Contributions</vt:lpstr>
      <vt:lpstr>Tax Transparency</vt:lpstr>
      <vt:lpstr>Waste &amp; Materials</vt:lpstr>
      <vt:lpstr>Water &amp; Effluents</vt:lpstr>
      <vt:lpstr>Scorecards</vt:lpstr>
      <vt:lpstr>_2023_Sustainability_scorecard</vt:lpstr>
      <vt:lpstr>Amount_of_land_owned_or_leased__and_managed_for_production_activities_or_extractive_use__disturbed_or_rehabilitated</vt:lpstr>
      <vt:lpstr>Anti_corruption_policy_in_procurement_processes_and_suppliers</vt:lpstr>
      <vt:lpstr>Approach_to_stakeholder_engagement</vt:lpstr>
      <vt:lpstr>Average_hours_of_training_per_year_per_employee_by_gender</vt:lpstr>
      <vt:lpstr>Categorizing_suppliers</vt:lpstr>
      <vt:lpstr>Collective_bargaining_agreements</vt:lpstr>
      <vt:lpstr>Communications_and_training_on_anti_corruption_policies_and_procedures</vt:lpstr>
      <vt:lpstr>Contractor_data_on_work_related_injuries</vt:lpstr>
      <vt:lpstr>Country_by_country_reporting</vt:lpstr>
      <vt:lpstr>Description_of_environmental_management_policies_and_practices__EMPs__for_active_sites</vt:lpstr>
      <vt:lpstr>Direct__Scope_1__GHG_emissions</vt:lpstr>
      <vt:lpstr>Direct_economic_value_generated_and_distributed___Million_USD</vt:lpstr>
      <vt:lpstr>Employee_and_contractor_data_on_work_related_ill_health</vt:lpstr>
      <vt:lpstr>Employee_data_on_work_related_injuries</vt:lpstr>
      <vt:lpstr>Employees</vt:lpstr>
      <vt:lpstr>Energy_consumption_within_the_organization__GJ</vt:lpstr>
      <vt:lpstr>Energy_indirect__Scope_2__GHG_emissions</vt:lpstr>
      <vt:lpstr>Energy_intensity</vt:lpstr>
      <vt:lpstr>Entities_included_in_the_organization_s_sustainability_reporting</vt:lpstr>
      <vt:lpstr>Extent_to_which_grievance_mechanisms_were_used_to_resolve_disputes_relating_to_land_use__customary_rights_of_local_communities_and_Indigenous_Peoples__and_the_outcomes</vt:lpstr>
      <vt:lpstr>GHG_emissions_intensity</vt:lpstr>
      <vt:lpstr>GHG_emissions_trail_FY2020_2022</vt:lpstr>
      <vt:lpstr>Governance_structure_and_composition__diversity_of_governance_bodies</vt:lpstr>
      <vt:lpstr>H_S_Data_Trailing_FY2020_2022__1</vt:lpstr>
      <vt:lpstr>Habitats_protected_or_restored__1</vt:lpstr>
      <vt:lpstr>Infrastructure_investments_and_services_supported</vt:lpstr>
      <vt:lpstr>IUCN_Red_List_species_and_national_conservation_list_species_with_habitats_in_areas_affected_by_operations</vt:lpstr>
      <vt:lpstr>List_of_material_topics</vt:lpstr>
      <vt:lpstr>Mechanisms_for_seeking_advise_and_raising_concerns</vt:lpstr>
      <vt:lpstr>Memberships_and_associations</vt:lpstr>
      <vt:lpstr>Negative_environmental_or_social_impacts_in_the_supply_chain_and_actions_taken</vt:lpstr>
      <vt:lpstr>New_employee_hires_and_employee_turnover</vt:lpstr>
      <vt:lpstr>New_suppliers_that_were_screened_using_environmental___social_criteria</vt:lpstr>
      <vt:lpstr>Number__and_percentage__of_company_operating_sites_where_ASM_takes_place_on__or_adjacent_to__the_site__the_associated_risks_and_the_actions_taken_to_manage_and_mitigate_these_risks</vt:lpstr>
      <vt:lpstr>Number_and_description_of_significant_disputes_1__relating_to_land_use__customary_rights_of_local_communities_and_Indigenous_Peoples</vt:lpstr>
      <vt:lpstr>Number_and_percentage_of_operations_with_closure_plans</vt:lpstr>
      <vt:lpstr>Number_and_percentage_of_total_sites_identified_as_requiring_biodiversity_management_plans_according_to_stated_criteria__and_number__and_percentage__of_those_sites_with_plans_in_place</vt:lpstr>
      <vt:lpstr>Operations_assessed_for_risks_related_to_corruption</vt:lpstr>
      <vt:lpstr>Operations_with_local_community_engagement__impact_assessments__and_development_programs</vt:lpstr>
      <vt:lpstr>Operations_with_significant_actual_and_potential_negative_impacts_on_local_communities</vt:lpstr>
      <vt:lpstr>Percentage_of_employees_per_employee_category_in_diversity_categories</vt:lpstr>
      <vt:lpstr>Percentage_of_proved_and_probable_reserves_in_or_near_sites_with_protected_conservation_status_or_endangered_species_habitat</vt:lpstr>
      <vt:lpstr>Potential_risks_to_water_sources</vt:lpstr>
      <vt:lpstr>Production_of_metal_ores_and_finished_metal_products</vt:lpstr>
      <vt:lpstr>Progress_toward_2022_sustainability_scorecard</vt:lpstr>
      <vt:lpstr>Proportion_of_bodies_of_water_with_good_ambient_water_quality</vt:lpstr>
      <vt:lpstr>Proportion_of_spending_on_local_suppliers</vt:lpstr>
      <vt:lpstr>Ratio_of_basic_salary_and_remuneration_of_women_to_men</vt:lpstr>
      <vt:lpstr>Ratios_of_standard_entry_level_wage_by_gender_compared_to_local_minimum_wage</vt:lpstr>
      <vt:lpstr>Reduction_of_GHG_emissions</vt:lpstr>
      <vt:lpstr>Security_personnel_trained_in_human_rights_policies_or_procedures</vt:lpstr>
      <vt:lpstr>Significant_impacts_of_activities__products_and_services_on_biodiversity</vt:lpstr>
      <vt:lpstr>Significant_indirect_economic_impacts</vt:lpstr>
      <vt:lpstr>Sites_where_resettlement_took_place__the_number_of_household_resettled_in_each__and_how_their_livelihoods_were_affected_in_the_process</vt:lpstr>
      <vt:lpstr>Tailings_storage_facility_inventory</vt:lpstr>
      <vt:lpstr>Total_amounts_of_overburden__rock__tailings__and_sludges</vt:lpstr>
      <vt:lpstr>Total_number_of_operations_taking_place_in_or_adjacent_to_Indigenous_Peoples__territories__and_number_and_percentage_of_operations_or_sites_where_there_are_formal_agreements_with_Indigenous_Peoples__communities</vt:lpstr>
      <vt:lpstr>Training_and_guidance_for_suppliers</vt:lpstr>
      <vt:lpstr>Waste_directed_to_disposal</vt:lpstr>
      <vt:lpstr>Waste_diverted_from_disposal</vt:lpstr>
      <vt:lpstr>Waste_generated</vt:lpstr>
      <vt:lpstr>Water_balance_FY2020_2022__ML</vt:lpstr>
      <vt:lpstr>Water_consumption_FY2020_2022__ML</vt:lpstr>
      <vt:lpstr>Water_discharge_FY2020_2022__ML</vt:lpstr>
      <vt:lpstr>Water_withdrawal_by_source_FY2020_2022__ML</vt:lpstr>
      <vt:lpstr>Work_related_hazards_that_pose_a_risk_of_high_consequence_injuries_FY2022__Employees___Contractors</vt:lpstr>
      <vt:lpstr>Worker_1__training_on_occupational_health_and_safety_FY2020_2022</vt:lpstr>
      <vt:lpstr>Workers_covered_by_an_occupational_health_and_safety_management_system</vt:lpstr>
      <vt:lpstr>Workers_who_are_not_employees__Contractors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Habed</dc:creator>
  <cp:keywords/>
  <dc:description/>
  <cp:lastModifiedBy>Janet Reid</cp:lastModifiedBy>
  <cp:revision/>
  <dcterms:created xsi:type="dcterms:W3CDTF">2022-04-04T15:16:57Z</dcterms:created>
  <dcterms:modified xsi:type="dcterms:W3CDTF">2023-05-11T21:12:45Z</dcterms:modified>
  <cp:category/>
  <cp:contentStatus/>
</cp:coreProperties>
</file>